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n izvedba\3a_Predračuni - popisi\SKUPAJ ZBRANI POPISI ZA RAZPIS AGLOM CELJE\Popravki 14092020\"/>
    </mc:Choice>
  </mc:AlternateContent>
  <xr:revisionPtr revIDLastSave="0" documentId="13_ncr:1_{38B33248-B1AF-4674-97E9-6E6D9A18F8D9}" xr6:coauthVersionLast="45" xr6:coauthVersionMax="45" xr10:uidLastSave="{00000000-0000-0000-0000-000000000000}"/>
  <bookViews>
    <workbookView xWindow="-120" yWindow="-120" windowWidth="29040" windowHeight="15840" tabRatio="819" xr2:uid="{00000000-000D-0000-FFFF-FFFF00000000}"/>
  </bookViews>
  <sheets>
    <sheet name="REKAPITULACIJA" sheetId="35" r:id="rId1"/>
    <sheet name="PRIPRAVLJALNA DELA" sheetId="5" r:id="rId2"/>
    <sheet name="ŠTORE 05-1" sheetId="25" r:id="rId3"/>
    <sheet name="ŠTORE 05-1.1" sheetId="26" r:id="rId4"/>
    <sheet name="ŠTORE 05-1.1.1" sheetId="27" r:id="rId5"/>
    <sheet name="ŠTORE 05-1.2" sheetId="30" r:id="rId6"/>
    <sheet name="ŠTORE 05-1.3" sheetId="29" r:id="rId7"/>
    <sheet name="ŠTORE 05-2" sheetId="28" r:id="rId8"/>
    <sheet name="ŠTORE TL.05-T1" sheetId="31" r:id="rId9"/>
    <sheet name="Črpališče Č3" sheetId="32" r:id="rId10"/>
    <sheet name="Črpališče elektro oprema Č3" sheetId="33" r:id="rId11"/>
    <sheet name="Črpališče-NN prikljucek Č3" sheetId="34" r:id="rId12"/>
    <sheet name="ZAKLJUCNA DELA" sheetId="6" r:id="rId13"/>
  </sheets>
  <definedNames>
    <definedName name="_xlnm.Print_Area" localSheetId="10">'Črpališče elektro oprema Č3'!$A$1:$F$139</definedName>
    <definedName name="_xlnm.Print_Area" localSheetId="0">REKAPITULACIJA!$A$1:$F$31</definedName>
    <definedName name="_xlnm.Print_Area" localSheetId="3">'ŠTORE 05-1.1'!$A$1:$F$74</definedName>
    <definedName name="_xlnm.Print_Area" localSheetId="5">'ŠTORE 05-1.2'!$A$1:$F$77</definedName>
    <definedName name="_xlnm.Print_Area" localSheetId="8">'ŠTORE TL.05-T1'!$A$1:$F$57</definedName>
    <definedName name="_xlnm.Print_Titles" localSheetId="9">'Črpališče Č3'!$1:$1</definedName>
    <definedName name="_xlnm.Print_Titles" localSheetId="2">'ŠTORE 05-1'!$3:$3</definedName>
    <definedName name="_xlnm.Print_Titles" localSheetId="3">'ŠTORE 05-1.1'!$3:$3</definedName>
    <definedName name="_xlnm.Print_Titles" localSheetId="4">'ŠTORE 05-1.1.1'!$3:$3</definedName>
    <definedName name="_xlnm.Print_Titles" localSheetId="5">'ŠTORE 05-1.2'!$3:$3</definedName>
    <definedName name="_xlnm.Print_Titles" localSheetId="6">'ŠTORE 05-1.3'!$3:$3</definedName>
    <definedName name="_xlnm.Print_Titles" localSheetId="7">'ŠTORE 05-2'!$3:$3</definedName>
    <definedName name="_xlnm.Print_Titles" localSheetId="8">'ŠTORE TL.05-T1'!$3:$3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2" l="1"/>
  <c r="F106" i="32" l="1"/>
  <c r="F35" i="27" l="1"/>
  <c r="F108" i="32" l="1"/>
  <c r="F43" i="30" l="1"/>
  <c r="F37" i="28" l="1"/>
  <c r="F36" i="30"/>
  <c r="F36" i="25"/>
  <c r="F163" i="32" l="1"/>
  <c r="F77" i="34" l="1"/>
  <c r="F76" i="34"/>
  <c r="F75" i="34"/>
  <c r="F74" i="34"/>
  <c r="F73" i="34"/>
  <c r="F72" i="34"/>
  <c r="F71" i="34"/>
  <c r="F70" i="34"/>
  <c r="F69" i="34"/>
  <c r="F57" i="34"/>
  <c r="F56" i="34"/>
  <c r="F55" i="34"/>
  <c r="F54" i="34"/>
  <c r="F53" i="34"/>
  <c r="F52" i="34"/>
  <c r="F51" i="34"/>
  <c r="F50" i="34"/>
  <c r="F49" i="34"/>
  <c r="F48" i="34"/>
  <c r="F47" i="34"/>
  <c r="F46" i="34"/>
  <c r="F45" i="34"/>
  <c r="F44" i="34"/>
  <c r="F36" i="34"/>
  <c r="F35" i="34"/>
  <c r="F34" i="34"/>
  <c r="F33" i="34"/>
  <c r="F32" i="34"/>
  <c r="F31" i="34"/>
  <c r="F30" i="34"/>
  <c r="F29" i="34"/>
  <c r="F38" i="34" s="1"/>
  <c r="F67" i="34" s="1"/>
  <c r="F22" i="34"/>
  <c r="F25" i="34" s="1"/>
  <c r="F66" i="34" s="1"/>
  <c r="F14" i="34"/>
  <c r="F13" i="34"/>
  <c r="F12" i="34"/>
  <c r="F11" i="34"/>
  <c r="F10" i="34"/>
  <c r="F9" i="34"/>
  <c r="F16" i="34" s="1"/>
  <c r="F65" i="34" s="1"/>
  <c r="F138" i="32"/>
  <c r="F154" i="32"/>
  <c r="F157" i="32"/>
  <c r="F160" i="32"/>
  <c r="F129" i="32"/>
  <c r="F126" i="32"/>
  <c r="F124" i="32"/>
  <c r="F116" i="32"/>
  <c r="F113" i="32"/>
  <c r="F77" i="32"/>
  <c r="F75" i="32"/>
  <c r="F69" i="32"/>
  <c r="F65" i="32"/>
  <c r="F61" i="32"/>
  <c r="F52" i="32"/>
  <c r="D35" i="32"/>
  <c r="F35" i="32" s="1"/>
  <c r="D31" i="32"/>
  <c r="F31" i="32" s="1"/>
  <c r="D17" i="32"/>
  <c r="F17" i="32" s="1"/>
  <c r="D15" i="32"/>
  <c r="F15" i="32" s="1"/>
  <c r="F5" i="32"/>
  <c r="F62" i="33"/>
  <c r="F73" i="33"/>
  <c r="F102" i="33"/>
  <c r="F113" i="33"/>
  <c r="F121" i="33"/>
  <c r="F129" i="33" s="1"/>
  <c r="F10" i="33"/>
  <c r="E140" i="33"/>
  <c r="F140" i="33" s="1"/>
  <c r="E139" i="33"/>
  <c r="F139" i="33" s="1"/>
  <c r="E137" i="33"/>
  <c r="F135" i="33"/>
  <c r="F138" i="33" s="1"/>
  <c r="F15" i="35" s="1"/>
  <c r="F134" i="33"/>
  <c r="F133" i="33"/>
  <c r="F132" i="33"/>
  <c r="F131" i="33"/>
  <c r="F130" i="33"/>
  <c r="E124" i="33"/>
  <c r="F119" i="33"/>
  <c r="F118" i="33"/>
  <c r="F117" i="33"/>
  <c r="F128" i="33"/>
  <c r="E113" i="33"/>
  <c r="F111" i="33"/>
  <c r="F110" i="33"/>
  <c r="F109" i="33"/>
  <c r="F108" i="33"/>
  <c r="F107" i="33"/>
  <c r="E105" i="33"/>
  <c r="F100" i="33"/>
  <c r="F99" i="33"/>
  <c r="F98" i="33"/>
  <c r="F97" i="33"/>
  <c r="F96" i="33"/>
  <c r="F95" i="33"/>
  <c r="F94" i="33"/>
  <c r="F93" i="33"/>
  <c r="F92" i="33"/>
  <c r="F91" i="33"/>
  <c r="F90" i="33"/>
  <c r="F89" i="33"/>
  <c r="F88" i="33"/>
  <c r="F87" i="33"/>
  <c r="F86" i="33"/>
  <c r="F85" i="33"/>
  <c r="F84" i="33"/>
  <c r="F83" i="33"/>
  <c r="F82" i="33"/>
  <c r="F81" i="33"/>
  <c r="F80" i="33"/>
  <c r="F79" i="33"/>
  <c r="F71" i="33"/>
  <c r="F70" i="33"/>
  <c r="F69" i="33"/>
  <c r="F68" i="33"/>
  <c r="F67" i="33"/>
  <c r="E65" i="33"/>
  <c r="E64" i="33"/>
  <c r="E63"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E9" i="33"/>
  <c r="E8" i="33"/>
  <c r="E5" i="33"/>
  <c r="F5" i="33" s="1"/>
  <c r="F59" i="34" l="1"/>
  <c r="F68" i="34" s="1"/>
  <c r="F79" i="34" s="1"/>
  <c r="F16" i="35" s="1"/>
  <c r="D143" i="32"/>
  <c r="F143" i="32" s="1"/>
  <c r="D22" i="32"/>
  <c r="F22" i="32" s="1"/>
  <c r="F127" i="33"/>
  <c r="F126" i="33"/>
  <c r="F125" i="33"/>
  <c r="D148" i="32" l="1"/>
  <c r="F148" i="32" s="1"/>
  <c r="F166" i="32" s="1"/>
  <c r="F14" i="35" s="1"/>
  <c r="F54" i="31"/>
  <c r="F53" i="31"/>
  <c r="F52" i="31"/>
  <c r="F51" i="31"/>
  <c r="F50" i="31"/>
  <c r="F49" i="31"/>
  <c r="F44" i="31"/>
  <c r="F43" i="31"/>
  <c r="F42" i="31"/>
  <c r="F41" i="31"/>
  <c r="F40" i="31"/>
  <c r="F38" i="31"/>
  <c r="F37" i="31"/>
  <c r="F35" i="31"/>
  <c r="F34" i="31"/>
  <c r="F45" i="31" s="1"/>
  <c r="D29" i="31"/>
  <c r="F29" i="31" s="1"/>
  <c r="F28" i="31"/>
  <c r="F27" i="31"/>
  <c r="F26" i="31"/>
  <c r="F25" i="31"/>
  <c r="D25" i="31"/>
  <c r="D24" i="31"/>
  <c r="F24" i="31" s="1"/>
  <c r="F23" i="31"/>
  <c r="F22" i="31"/>
  <c r="D22" i="31"/>
  <c r="F21" i="31"/>
  <c r="D21" i="31"/>
  <c r="D20" i="31"/>
  <c r="F20" i="31" s="1"/>
  <c r="F19" i="31"/>
  <c r="F18" i="31"/>
  <c r="D18" i="31"/>
  <c r="F17" i="31"/>
  <c r="F15" i="31"/>
  <c r="F14" i="31"/>
  <c r="D14" i="31"/>
  <c r="D27" i="31" s="1"/>
  <c r="J27" i="31" s="1"/>
  <c r="F8" i="31"/>
  <c r="F7" i="31"/>
  <c r="F6" i="31"/>
  <c r="D6" i="31"/>
  <c r="F5" i="31"/>
  <c r="F9" i="31" l="1"/>
  <c r="F55" i="31"/>
  <c r="F30" i="31"/>
  <c r="D27" i="26"/>
  <c r="D30" i="25"/>
  <c r="D27" i="25"/>
  <c r="F46" i="25"/>
  <c r="D5" i="6"/>
  <c r="F57" i="31" l="1"/>
  <c r="F13" i="35" s="1"/>
  <c r="F71" i="30"/>
  <c r="F69" i="30"/>
  <c r="D12" i="30"/>
  <c r="F59" i="30"/>
  <c r="F58" i="30"/>
  <c r="F57" i="30"/>
  <c r="F56" i="30"/>
  <c r="F55" i="30"/>
  <c r="F48" i="30"/>
  <c r="F50" i="30"/>
  <c r="F51" i="30"/>
  <c r="F49" i="30"/>
  <c r="D39" i="30"/>
  <c r="F39" i="30" s="1"/>
  <c r="D35" i="30"/>
  <c r="D34" i="30"/>
  <c r="D33" i="30"/>
  <c r="D31" i="30"/>
  <c r="D30" i="30"/>
  <c r="D29" i="30"/>
  <c r="D27" i="30"/>
  <c r="D26" i="30"/>
  <c r="D24" i="30"/>
  <c r="D22" i="30"/>
  <c r="D19" i="30"/>
  <c r="D18" i="30"/>
  <c r="D41" i="30" s="1"/>
  <c r="D7" i="30"/>
  <c r="F7" i="30" s="1"/>
  <c r="D6" i="30"/>
  <c r="F8" i="30"/>
  <c r="D37" i="30" l="1"/>
  <c r="F12" i="30"/>
  <c r="F10" i="30"/>
  <c r="F74" i="30"/>
  <c r="F73" i="30"/>
  <c r="F72" i="30"/>
  <c r="F70" i="30"/>
  <c r="D68" i="30"/>
  <c r="F68" i="30" s="1"/>
  <c r="F67" i="30"/>
  <c r="F66" i="30"/>
  <c r="F65" i="30"/>
  <c r="F64" i="30"/>
  <c r="F75" i="30" s="1"/>
  <c r="F54" i="30"/>
  <c r="F53" i="30"/>
  <c r="F60" i="30" s="1"/>
  <c r="D40" i="30"/>
  <c r="F40" i="30" s="1"/>
  <c r="F38" i="30"/>
  <c r="F35" i="30"/>
  <c r="F34" i="30"/>
  <c r="F33" i="30"/>
  <c r="F32" i="30"/>
  <c r="F31" i="30"/>
  <c r="F30" i="30"/>
  <c r="F29" i="30"/>
  <c r="F28" i="30"/>
  <c r="F27" i="30"/>
  <c r="F25" i="30"/>
  <c r="F26" i="30"/>
  <c r="F22" i="30"/>
  <c r="F20" i="30"/>
  <c r="F18" i="30"/>
  <c r="F11" i="30"/>
  <c r="F9" i="30"/>
  <c r="F6" i="30"/>
  <c r="F5" i="30"/>
  <c r="F13" i="30" l="1"/>
  <c r="F37" i="30"/>
  <c r="F41" i="30"/>
  <c r="F19" i="30"/>
  <c r="F44" i="30" s="1"/>
  <c r="D42" i="30"/>
  <c r="F42" i="30" s="1"/>
  <c r="F24" i="30"/>
  <c r="D36" i="28"/>
  <c r="F36" i="28" s="1"/>
  <c r="D35" i="28"/>
  <c r="D34" i="28"/>
  <c r="D33" i="28"/>
  <c r="D29" i="28"/>
  <c r="D61" i="28"/>
  <c r="F61" i="28" s="1"/>
  <c r="F60" i="28"/>
  <c r="F77" i="30" l="1"/>
  <c r="F10" i="35" s="1"/>
  <c r="F66" i="28"/>
  <c r="D18" i="28" l="1"/>
  <c r="F18" i="28" s="1"/>
  <c r="D19" i="28"/>
  <c r="D41" i="28" l="1"/>
  <c r="F41" i="28" s="1"/>
  <c r="D42" i="28" l="1"/>
  <c r="F42" i="28" s="1"/>
  <c r="F35" i="28"/>
  <c r="F33" i="28"/>
  <c r="D31" i="28"/>
  <c r="F31" i="28" s="1"/>
  <c r="D30" i="28"/>
  <c r="F30" i="28" s="1"/>
  <c r="D24" i="28"/>
  <c r="F22" i="28"/>
  <c r="F29" i="28"/>
  <c r="D27" i="28"/>
  <c r="F27" i="28" s="1"/>
  <c r="D6" i="28"/>
  <c r="F6" i="28" s="1"/>
  <c r="F65" i="28"/>
  <c r="F64" i="28"/>
  <c r="F63" i="28"/>
  <c r="F62" i="28"/>
  <c r="D59" i="28"/>
  <c r="F59" i="28" s="1"/>
  <c r="F58" i="28"/>
  <c r="F57" i="28"/>
  <c r="F56" i="28"/>
  <c r="F55" i="28"/>
  <c r="F50" i="28"/>
  <c r="F49" i="28"/>
  <c r="F47" i="28"/>
  <c r="D40" i="28"/>
  <c r="F40" i="28" s="1"/>
  <c r="F34" i="28"/>
  <c r="F32" i="28"/>
  <c r="F28" i="28"/>
  <c r="F25" i="28"/>
  <c r="F20" i="28"/>
  <c r="F12" i="28"/>
  <c r="F11" i="28"/>
  <c r="F10" i="28"/>
  <c r="F9" i="28"/>
  <c r="F8" i="28"/>
  <c r="F7" i="28"/>
  <c r="F5" i="28"/>
  <c r="F46" i="29"/>
  <c r="F38" i="29"/>
  <c r="F39" i="29"/>
  <c r="D29" i="29"/>
  <c r="D30" i="29" s="1"/>
  <c r="F30" i="29" s="1"/>
  <c r="D26" i="29"/>
  <c r="F26" i="29" s="1"/>
  <c r="D24" i="29"/>
  <c r="F24" i="29" s="1"/>
  <c r="D23" i="29"/>
  <c r="F23" i="29" s="1"/>
  <c r="D22" i="29"/>
  <c r="F22" i="29" s="1"/>
  <c r="D20" i="29"/>
  <c r="F20" i="29" s="1"/>
  <c r="D18" i="29"/>
  <c r="F18" i="29" s="1"/>
  <c r="D15" i="29"/>
  <c r="F15" i="29" s="1"/>
  <c r="D14" i="29"/>
  <c r="F14" i="29" s="1"/>
  <c r="D6" i="29"/>
  <c r="F6" i="29" s="1"/>
  <c r="F62" i="29"/>
  <c r="F61" i="29"/>
  <c r="F60" i="29"/>
  <c r="F59" i="29"/>
  <c r="F58" i="29"/>
  <c r="F57" i="29"/>
  <c r="F52" i="29"/>
  <c r="F51" i="29"/>
  <c r="F50" i="29"/>
  <c r="F49" i="29"/>
  <c r="F48" i="29"/>
  <c r="F47" i="29"/>
  <c r="F41" i="29"/>
  <c r="F37" i="29"/>
  <c r="F27" i="29"/>
  <c r="F25" i="29"/>
  <c r="F21" i="29"/>
  <c r="F19" i="29"/>
  <c r="F16" i="29"/>
  <c r="F8" i="29"/>
  <c r="F7" i="29"/>
  <c r="F5" i="29"/>
  <c r="D36" i="26"/>
  <c r="F36" i="26"/>
  <c r="D34" i="27"/>
  <c r="F34" i="27" s="1"/>
  <c r="D29" i="27"/>
  <c r="F29" i="27" s="1"/>
  <c r="D28" i="27"/>
  <c r="F28" i="27" s="1"/>
  <c r="D26" i="27"/>
  <c r="D25" i="27"/>
  <c r="F25" i="27" s="1"/>
  <c r="D24" i="27"/>
  <c r="F24" i="27" s="1"/>
  <c r="D22" i="27"/>
  <c r="F22" i="27" s="1"/>
  <c r="D21" i="27"/>
  <c r="F21" i="27" s="1"/>
  <c r="D20" i="27"/>
  <c r="F20" i="27" s="1"/>
  <c r="D18" i="27"/>
  <c r="F18" i="27" s="1"/>
  <c r="D15" i="27"/>
  <c r="D31" i="27" s="1"/>
  <c r="D6" i="27"/>
  <c r="F60" i="27"/>
  <c r="F59" i="27"/>
  <c r="F58" i="27"/>
  <c r="F57" i="27"/>
  <c r="F56" i="27"/>
  <c r="F55" i="27"/>
  <c r="F54" i="27"/>
  <c r="F53" i="27"/>
  <c r="F48" i="27"/>
  <c r="F47" i="27"/>
  <c r="F46" i="27"/>
  <c r="F45" i="27"/>
  <c r="F44" i="27"/>
  <c r="F43" i="27"/>
  <c r="F42" i="27"/>
  <c r="F40" i="27"/>
  <c r="F39" i="27"/>
  <c r="D33" i="27"/>
  <c r="F33" i="27" s="1"/>
  <c r="F32" i="27"/>
  <c r="F30" i="27"/>
  <c r="F27" i="27"/>
  <c r="F26" i="27"/>
  <c r="F23" i="27"/>
  <c r="F16" i="27"/>
  <c r="F9" i="27"/>
  <c r="F8" i="27"/>
  <c r="F7" i="27"/>
  <c r="F6" i="27"/>
  <c r="F5" i="27"/>
  <c r="D57" i="26"/>
  <c r="F57" i="26" s="1"/>
  <c r="F50" i="26"/>
  <c r="D15" i="26"/>
  <c r="F15" i="26" s="1"/>
  <c r="D37" i="26"/>
  <c r="F37" i="26" s="1"/>
  <c r="F38" i="26"/>
  <c r="D31" i="26"/>
  <c r="F31" i="26" s="1"/>
  <c r="D30" i="26"/>
  <c r="F30" i="26" s="1"/>
  <c r="D28" i="26"/>
  <c r="F28" i="26" s="1"/>
  <c r="F27" i="26"/>
  <c r="D24" i="26"/>
  <c r="F24" i="26" s="1"/>
  <c r="D23" i="26"/>
  <c r="F23" i="26" s="1"/>
  <c r="D26" i="26"/>
  <c r="F26" i="26" s="1"/>
  <c r="D19" i="26"/>
  <c r="F19" i="26" s="1"/>
  <c r="D22" i="26"/>
  <c r="F22" i="26" s="1"/>
  <c r="D16" i="26"/>
  <c r="F16" i="26" s="1"/>
  <c r="F9" i="26"/>
  <c r="D6" i="26"/>
  <c r="F6" i="26" s="1"/>
  <c r="F71" i="26"/>
  <c r="F70" i="26"/>
  <c r="F69" i="26"/>
  <c r="F68" i="26"/>
  <c r="F67" i="26"/>
  <c r="F66" i="26"/>
  <c r="F65" i="26"/>
  <c r="F64" i="26"/>
  <c r="F63" i="26"/>
  <c r="F58" i="26"/>
  <c r="F56" i="26"/>
  <c r="F55" i="26"/>
  <c r="F54" i="26"/>
  <c r="F53" i="26"/>
  <c r="F52" i="26"/>
  <c r="F45" i="26"/>
  <c r="F44" i="26"/>
  <c r="F43" i="26"/>
  <c r="D35" i="26"/>
  <c r="F35" i="26" s="1"/>
  <c r="F34" i="26"/>
  <c r="F32" i="26"/>
  <c r="F29" i="26"/>
  <c r="F25" i="26"/>
  <c r="F20" i="26"/>
  <c r="F17" i="26"/>
  <c r="F8" i="26"/>
  <c r="F7" i="26"/>
  <c r="F5" i="26"/>
  <c r="D56" i="25"/>
  <c r="F56" i="25" s="1"/>
  <c r="F45" i="25"/>
  <c r="F55" i="25"/>
  <c r="F50" i="25"/>
  <c r="F44" i="25"/>
  <c r="D38" i="25"/>
  <c r="D35" i="25"/>
  <c r="F35" i="25" s="1"/>
  <c r="D34" i="25"/>
  <c r="F34" i="25" s="1"/>
  <c r="D33" i="25"/>
  <c r="F33" i="25" s="1"/>
  <c r="D32" i="25"/>
  <c r="F32" i="25" s="1"/>
  <c r="F30" i="25"/>
  <c r="D29" i="25"/>
  <c r="F29" i="25" s="1"/>
  <c r="F27" i="25"/>
  <c r="D25" i="25"/>
  <c r="F25" i="25" s="1"/>
  <c r="D23" i="25"/>
  <c r="D24" i="25"/>
  <c r="F24" i="25" s="1"/>
  <c r="D20" i="25"/>
  <c r="F20" i="25" s="1"/>
  <c r="D17" i="25"/>
  <c r="D9" i="25"/>
  <c r="F9" i="25" s="1"/>
  <c r="D8" i="25"/>
  <c r="F8" i="25" s="1"/>
  <c r="D6" i="25"/>
  <c r="F6" i="25" s="1"/>
  <c r="F75" i="25"/>
  <c r="F74" i="25"/>
  <c r="F73" i="25"/>
  <c r="F72" i="25"/>
  <c r="D71" i="25"/>
  <c r="F71" i="25" s="1"/>
  <c r="D70" i="25"/>
  <c r="F70" i="25" s="1"/>
  <c r="F69" i="25"/>
  <c r="D68" i="25"/>
  <c r="F68" i="25" s="1"/>
  <c r="F67" i="25"/>
  <c r="F66" i="25"/>
  <c r="F65" i="25"/>
  <c r="F64" i="25"/>
  <c r="F59" i="25"/>
  <c r="F58" i="25"/>
  <c r="F57" i="25"/>
  <c r="F54" i="25"/>
  <c r="F53" i="25"/>
  <c r="F52" i="25"/>
  <c r="F51" i="25"/>
  <c r="F49" i="25"/>
  <c r="F48" i="25"/>
  <c r="D39" i="25"/>
  <c r="F39" i="25" s="1"/>
  <c r="F31" i="25"/>
  <c r="F28" i="25"/>
  <c r="F26" i="25"/>
  <c r="F21" i="25"/>
  <c r="F18" i="25"/>
  <c r="F10" i="25"/>
  <c r="F7" i="25"/>
  <c r="F5" i="25"/>
  <c r="F67" i="28" l="1"/>
  <c r="F24" i="28"/>
  <c r="D38" i="28"/>
  <c r="F38" i="28" s="1"/>
  <c r="F43" i="28" s="1"/>
  <c r="F17" i="25"/>
  <c r="D37" i="25"/>
  <c r="D26" i="28"/>
  <c r="F26" i="28" s="1"/>
  <c r="F51" i="28"/>
  <c r="F13" i="28"/>
  <c r="F19" i="28"/>
  <c r="F39" i="28"/>
  <c r="F29" i="29"/>
  <c r="D28" i="29"/>
  <c r="F28" i="29" s="1"/>
  <c r="D31" i="29"/>
  <c r="F63" i="29"/>
  <c r="F53" i="29"/>
  <c r="F9" i="29"/>
  <c r="F31" i="27"/>
  <c r="F49" i="27"/>
  <c r="F61" i="27"/>
  <c r="F10" i="27"/>
  <c r="F15" i="27"/>
  <c r="D33" i="26"/>
  <c r="F33" i="26" s="1"/>
  <c r="F39" i="26" s="1"/>
  <c r="F59" i="26"/>
  <c r="F72" i="26"/>
  <c r="F10" i="26"/>
  <c r="F37" i="25"/>
  <c r="F11" i="25"/>
  <c r="F12" i="25" s="1"/>
  <c r="F60" i="25"/>
  <c r="F76" i="25"/>
  <c r="F23" i="25"/>
  <c r="F38" i="25"/>
  <c r="F69" i="28" l="1"/>
  <c r="F12" i="35" s="1"/>
  <c r="F31" i="29"/>
  <c r="D32" i="29"/>
  <c r="F32" i="29" s="1"/>
  <c r="F63" i="27"/>
  <c r="F9" i="35" s="1"/>
  <c r="F74" i="26"/>
  <c r="F8" i="35" s="1"/>
  <c r="F40" i="25"/>
  <c r="F78" i="25" s="1"/>
  <c r="F7" i="35" l="1"/>
  <c r="F33" i="29"/>
  <c r="F65" i="29" s="1"/>
  <c r="F11" i="35" s="1"/>
  <c r="F6" i="6" l="1"/>
  <c r="F7" i="6" s="1"/>
  <c r="F17" i="35" s="1"/>
  <c r="F5" i="6"/>
  <c r="F4" i="6"/>
  <c r="F3" i="6"/>
  <c r="F6" i="5"/>
  <c r="F5" i="5"/>
  <c r="F4" i="5"/>
  <c r="F3" i="5"/>
  <c r="F7" i="5" l="1"/>
  <c r="F6" i="35" s="1"/>
  <c r="F19" i="35" l="1"/>
  <c r="F20" i="35" l="1"/>
  <c r="F21" i="35" s="1"/>
  <c r="F22" i="35" l="1"/>
  <c r="F23" i="35" s="1"/>
</calcChain>
</file>

<file path=xl/sharedStrings.xml><?xml version="1.0" encoding="utf-8"?>
<sst xmlns="http://schemas.openxmlformats.org/spreadsheetml/2006/main" count="1791" uniqueCount="511">
  <si>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</si>
  <si>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</si>
  <si>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</si>
  <si>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</si>
  <si>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</si>
  <si>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</si>
  <si>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</si>
  <si>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</si>
  <si>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</si>
  <si>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</si>
  <si>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</si>
  <si>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</si>
  <si>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</si>
  <si>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</si>
  <si>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</si>
  <si>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SKUPAJ brez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</si>
  <si>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</si>
  <si>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</si>
  <si>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</si>
  <si>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</si>
  <si>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</si>
  <si>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Nabava in vgraditev zaščitnih cevi alkaten d110 (TT, elektro kabli) z obbetoniranjem C12/15 l=3.00 m za izvedbo križanja, vključno z vsemi potrebnimi deli in materialom.</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</si>
  <si>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</si>
  <si>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</si>
  <si>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</si>
  <si>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</si>
  <si>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</si>
  <si>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</si>
  <si>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</si>
  <si>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</si>
  <si>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</si>
  <si>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</si>
  <si>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</si>
  <si>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</si>
  <si>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</si>
  <si>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</si>
  <si>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</si>
  <si>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</si>
  <si>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</si>
  <si>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</si>
  <si>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</si>
  <si>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</si>
  <si>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</si>
  <si>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</si>
  <si>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</si>
  <si>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</si>
  <si>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</si>
  <si>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r>
      <t>m</t>
    </r>
    <r>
      <rPr>
        <vertAlign val="superscript"/>
        <sz val="10"/>
        <rFont val="Arial"/>
        <family val="2"/>
      </rPr>
      <t>3</t>
    </r>
  </si>
  <si>
    <r>
      <t>m</t>
    </r>
    <r>
      <rPr>
        <vertAlign val="superscript"/>
        <sz val="10"/>
        <rFont val="Arial"/>
        <family val="2"/>
      </rPr>
      <t>2</t>
    </r>
  </si>
  <si>
    <t>KANALIZACIJA SKUPAJ:</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</si>
  <si>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</si>
  <si>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</si>
  <si>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</si>
  <si>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</si>
  <si>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1</t>
  </si>
  <si>
    <t>2</t>
  </si>
  <si>
    <t>3</t>
  </si>
  <si>
    <t>4</t>
  </si>
  <si>
    <t>5</t>
  </si>
  <si>
    <t>6</t>
  </si>
  <si>
    <t>7</t>
  </si>
  <si>
    <t>8</t>
  </si>
  <si>
    <t>9</t>
  </si>
  <si>
    <t>10</t>
  </si>
  <si>
    <t>11</t>
  </si>
  <si>
    <t>12</t>
  </si>
  <si>
    <t>13</t>
  </si>
  <si>
    <t>14</t>
  </si>
  <si>
    <t>15</t>
  </si>
  <si>
    <t>16</t>
  </si>
  <si>
    <t>17</t>
  </si>
  <si>
    <t>18</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</si>
  <si>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</si>
  <si>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</si>
  <si>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Planiranje zelenih povpršin, grabljenje kamenja, sejanje s travnim semenom in gnojenje.</t>
  </si>
  <si>
    <t xml:space="preserve">Rušenje bet. robnikov 15/25  z nakladanjem in odvozom na odlagališče gradbenih odpadkov vključno s stroški deponiranja </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</si>
  <si>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</si>
  <si>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</si>
  <si>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</si>
  <si>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r>
      <t xml:space="preserve">Strojni izkop jarka v zemljini </t>
    </r>
    <r>
      <rPr>
        <sz val="10"/>
        <rFont val="Arial"/>
        <family val="2"/>
        <charset val="238"/>
      </rPr>
      <t xml:space="preserve">V. ktg, vertikalni z razpiranjem in nalaganjem na vozilo ter odvozom na stalno deponijo, vključno s stroški deponiranja.          </t>
    </r>
  </si>
  <si>
    <t>19</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</si>
  <si>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</si>
  <si>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</si>
  <si>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Rušenje betonskih in AB konstrukcij z nalaganjem in odvozom na odlagališče gradbenih odpadkov vključno s stroški deponiranja.</t>
  </si>
  <si>
    <t xml:space="preserve">Dobava, transport peska in izdelava peščene posteljice iz dobavljenega materiala (4-8 mm) po navodilih nadzora, debeline 13 cm, v predvidenem nagibu, po celotni širini jarka                                       </t>
  </si>
  <si>
    <t xml:space="preserve">Dobava, transport ter strojno-ročni obsip cevi z dobro vezljivim, dobavljenim peščenim materialom (4-8mm) skladno s standardom SIST EN-1610, do višine 15 cm nad cevjo, z utrjevanjem do zbitosti (97% SPP)         </t>
  </si>
  <si>
    <r>
      <t>Nabava,transport in vgraditev zmrzlinsko odpornega kamnitega materiala do fi 63 mm v debelini 30 cm</t>
    </r>
    <r>
      <rPr>
        <sz val="10"/>
        <rFont val="Arial"/>
        <family val="2"/>
      </rPr>
      <t xml:space="preserve"> z uvaljanem za izvedbo spodnjega ustroja.</t>
    </r>
  </si>
  <si>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</si>
  <si>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</si>
  <si>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</si>
  <si>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</si>
  <si>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Projektantski nadzor in usklajevanje projekta z dejansko ugotovljenim stanjem na terenu.</t>
  </si>
  <si>
    <t>Dobava, transport  in vgradnja ravnih betonskih cestnih robnikov 15/25 cm z betonskim temeljem. Robniki izdelani iz zmrzlinsko odpornega betona XF4 in stopnje obrusa XB2.</t>
  </si>
  <si>
    <t>Nabava, transport in vgraditev betona C25/30 v AB konstrukcije z vsem potrebnim delom in materialom.</t>
  </si>
  <si>
    <t>Nepredvidena dela v vrednosti 10% vseh del</t>
  </si>
  <si>
    <t>Nabava in vgraditev zaščitnih cevi alkaten d110 (CATV kabli) z obbetoniranjem C12/15 l=4.00 m za izvedbo križanja, vključno z vsemi potrebnimi deli in materialom.</t>
  </si>
  <si>
    <t>Nabava in vgraditev zaščitnih cevi PVC DN 400 SN8 z obbetoniranjem C12/15 L=3.00 m za izvedbo križanja, vključno z vsemi potrebnimi deli in materialom.</t>
  </si>
  <si>
    <t>Dobava in polaganje visokoobremenitvenih polnostenskih PP cevi DN 200 mm, temenske togosti min. SN12. Cevi zunaj  in znotraj gladke. Izvedene po standardu SIST EN 13476-1. Stiki se tesnijo s spojno integriranimi gumi tesnili oziroma spojkami.</t>
  </si>
  <si>
    <t>Dobava in polaganje visokoobremenitvenih polnostenskih PP cevi DN 250 mm, temenske togosti min. SN12.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</si>
  <si>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</si>
  <si>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Nabava, transport in vgraditev tampona I (TP 32) v debelini 25 cm z uvaljanjem Ev2&gt;= 100 Mpa za izvedbo zgornjega ustroja.</t>
  </si>
  <si>
    <t>Izkop in odvoz obstoječega tampona do deb. 30 cm na začasno deponijo - material predviden za zasip</t>
  </si>
  <si>
    <t>20</t>
  </si>
  <si>
    <t>Nabava, transport in vgraditev tampona I (TP 32) v debelini 30 cm z uvaljanjem Ev2&gt;= 80 Mpa za izvedbo makadamskega vozišča</t>
  </si>
  <si>
    <t>Tlačni preizkus kanalizacije in jaškov z izdelavo končnga poročila skladno s SISTEN 1610</t>
  </si>
  <si>
    <t>Pregled kanalizacije s kamero in izdelava poročila</t>
  </si>
  <si>
    <t>I./  PRPRAVLJALNA DELA</t>
  </si>
  <si>
    <t>PRPRAVLJALNA DELA SKUPAJ</t>
  </si>
  <si>
    <r>
      <t>Strojni izkop jarka v zemljini III</t>
    </r>
    <r>
      <rPr>
        <sz val="10"/>
        <rFont val="Arial"/>
        <family val="2"/>
        <charset val="238"/>
      </rPr>
      <t xml:space="preserve">. - IV. ktg, široki z nalaganjem na vozilo ter odvozom na gradbiščno deponijo, vključno s stroški deponiranja.          </t>
    </r>
  </si>
  <si>
    <t>Izvedba priključka kanalizacije na obstoječ jašek kanalizacije s kronsko navrtavo za cev DN 200 in vstavitvijo gumi tesnila, vključno z vsem potrebnim delom in materialom.</t>
  </si>
  <si>
    <t>m'</t>
  </si>
  <si>
    <t>21</t>
  </si>
  <si>
    <t>Izvedba priključka kanalizacije na obstoječ jašek kanalizacije s kronsko navrtavo za cev DN 250 in vstavitvijo gumi tesnila, vključno z vsem potrebnim delom in materialom.</t>
  </si>
  <si>
    <t xml:space="preserve">kolena PVC DN 160/45 . </t>
  </si>
  <si>
    <t>I./ Pripravljalna dela</t>
  </si>
  <si>
    <t>Nabava in vgraditev geotekstila 200 gr/m2</t>
  </si>
  <si>
    <r>
      <t xml:space="preserve">Asfaltiranje vozišča v sestavi- </t>
    </r>
    <r>
      <rPr>
        <b/>
        <i/>
        <sz val="10"/>
        <rFont val="Arial"/>
        <family val="2"/>
      </rPr>
      <t>lokalna cesta</t>
    </r>
    <r>
      <rPr>
        <sz val="10"/>
        <rFont val="Arial"/>
        <family val="2"/>
      </rPr>
      <t xml:space="preserve">:                                       3 cm AC 8 ali 11 surf B50/70 A4                                    </t>
    </r>
  </si>
  <si>
    <r>
      <t>Asfaltiranje vozišča v sestavi-</t>
    </r>
    <r>
      <rPr>
        <b/>
        <i/>
        <sz val="10"/>
        <rFont val="Arial"/>
        <family val="2"/>
      </rPr>
      <t xml:space="preserve"> lokalna cesta</t>
    </r>
    <r>
      <rPr>
        <sz val="10"/>
        <rFont val="Arial"/>
        <family val="2"/>
      </rPr>
      <t>:                                       6 cm AC 16 base B50/70 A4</t>
    </r>
  </si>
  <si>
    <r>
      <t>Asfaltiranje vozišča v sestavi-</t>
    </r>
    <r>
      <rPr>
        <b/>
        <i/>
        <sz val="10"/>
        <rFont val="Arial"/>
        <family val="2"/>
      </rPr>
      <t xml:space="preserve"> regionalna cesta</t>
    </r>
    <r>
      <rPr>
        <sz val="10"/>
        <rFont val="Arial"/>
        <family val="2"/>
      </rPr>
      <t xml:space="preserve">:                                       4 cm AC 11 PmB 45/80-65 A2                                    </t>
    </r>
  </si>
  <si>
    <r>
      <t xml:space="preserve">Asfaltiranje vozišča v sestavi- </t>
    </r>
    <r>
      <rPr>
        <b/>
        <sz val="10"/>
        <rFont val="Arial"/>
        <family val="2"/>
      </rPr>
      <t>regionalna cesta</t>
    </r>
    <r>
      <rPr>
        <sz val="10"/>
        <rFont val="Arial"/>
        <family val="2"/>
      </rPr>
      <t>:                                       6 cm AC 22 base B50/70 A2</t>
    </r>
  </si>
  <si>
    <r>
      <t xml:space="preserve">Asfaltiranje vozišča v sestavi- </t>
    </r>
    <r>
      <rPr>
        <b/>
        <sz val="10"/>
        <rFont val="Arial"/>
        <family val="2"/>
      </rPr>
      <t>regionalna cesta</t>
    </r>
    <r>
      <rPr>
        <sz val="10"/>
        <rFont val="Arial"/>
        <family val="2"/>
      </rPr>
      <t>:                                       8 cm AC 32 base B50/70 A2</t>
    </r>
  </si>
  <si>
    <t>Strojno rezanje asfalta in tesnjenje stikov s tesnilnim kitom za stičenje (npr. Masflex ali ekvivalent) pred asfaltiranjem d&lt;=10 cm</t>
  </si>
  <si>
    <t>Strojno rezanje asfalta in tesnjenje stikov s tesnilnim kitom za stičenje (npr. Masflex ali ekvivalent) pred asfaltiranjem d=10-20cm</t>
  </si>
  <si>
    <t xml:space="preserve">Frezanje asfalta ceste debeline 10 do 20 cm, nakladanje in odvoz na začasno deponijo. Material je predviden za zasip. </t>
  </si>
  <si>
    <r>
      <t>Nabava,transport in vgraditev zmrzlinsko odpornega kamnitega materiala do fi 100 mm v debelini 50 cm</t>
    </r>
    <r>
      <rPr>
        <sz val="10"/>
        <rFont val="Arial"/>
        <family val="2"/>
      </rPr>
      <t xml:space="preserve"> z uvaljanem za izvedbo spodnjega ustroja.</t>
    </r>
  </si>
  <si>
    <t>Nabava, transport in vgraditev tampona I (TP 32) v debelini 26 cm z uvaljanjem Ev2&gt;= 100 Mpa za izvedbo zgornjega ustroja.</t>
  </si>
  <si>
    <t>Posip bankin s peskom š=0.75 m</t>
  </si>
  <si>
    <t>Nabava in vgraditev betona C16/20 - obbetoniranje cevi</t>
  </si>
  <si>
    <t xml:space="preserve">Dobava in vgradnja priključka na jašek s "fajfo" iz polnostenskih PP cevi DN 200 mm, temenske togosti min. SN12. Cevi zunaj  in znotraj gladke. Izvedene po standardu SIST EN 13476-1. Stiki se tesnijo s spojno integriranimi gumi tesnili oziroma spojkami v sestavi :                                                                                          </t>
  </si>
  <si>
    <t>T kos 200/200/45   kos 1</t>
  </si>
  <si>
    <t>koleno 200/45       kos 1</t>
  </si>
  <si>
    <t>koleno 200/90       kos 1</t>
  </si>
  <si>
    <t>cev PP 200 SN 12 m' 5</t>
  </si>
  <si>
    <t>Dobava in polaganje polnostenskih PVC cevi DN 200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</si>
  <si>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 xml:space="preserve">kolena PVC DN 200/45 . </t>
  </si>
  <si>
    <t>II.</t>
  </si>
  <si>
    <t>III.</t>
  </si>
  <si>
    <t>IV.</t>
  </si>
  <si>
    <t>V.</t>
  </si>
  <si>
    <t>VI.</t>
  </si>
  <si>
    <t>VII.</t>
  </si>
  <si>
    <t xml:space="preserve">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t>
  </si>
  <si>
    <t xml:space="preserve">H =3.00-3.50 m </t>
  </si>
  <si>
    <t>KANAL ŠTORE 05-1</t>
  </si>
  <si>
    <t>KANAL ŠTORE 05-.1SKUPAJ:</t>
  </si>
  <si>
    <t>Izvedba priključka kanalizacije na obstoječ jašek kanalizacije s kronsko navrtavo za cev DN 250 in vstavitvijo gumi tesnila, vključno z vsem potrebnim delom in materialom, vključno obdelava mulde v obstojećem priključnem jašku</t>
  </si>
  <si>
    <t xml:space="preserve">T kos 250/160/45  </t>
  </si>
  <si>
    <t>Izvedba priključka cevi DN 200 za nastavek hišnega priključka na revizijske jaške glavnega kanala s kronsko navrtavo in gumi tesnilom.</t>
  </si>
  <si>
    <t>KANAL ŠTORE 5-1.1</t>
  </si>
  <si>
    <t>KANAL ŠTORE 5-1.1 SKUPAJ:</t>
  </si>
  <si>
    <t>Nalaganje in odvoz odvečnega materiala na začasni deponiji na stalno deponijo do 10 km vključno s stroški deponiranja.367,42*1,25</t>
  </si>
  <si>
    <t xml:space="preserve">kolena PP DN 200 7,5 st. </t>
  </si>
  <si>
    <t>T kos PP DN 200/160/45</t>
  </si>
  <si>
    <t>KANAL ŠTORE 5-1.1.1</t>
  </si>
  <si>
    <t>KANAL ŠTORE 5-1.1.1 SKUPAJ:</t>
  </si>
  <si>
    <t xml:space="preserve">kolena PP DN 200 15 st. </t>
  </si>
  <si>
    <t>Posip in uvaljanje bankin  š= 0,50 m</t>
  </si>
  <si>
    <t>KANAL ŠTORE 05-1.3</t>
  </si>
  <si>
    <t>KANAL  ŠTORE 05-1.3 SKUPAJ:</t>
  </si>
  <si>
    <t>Nalaganje in odvoz odvečnega materiala na začasni deponiji na stalno deponijo do 10 km vključno s stroški deponiranja. 56,57*1,25</t>
  </si>
  <si>
    <t>Valjanje in planiranje planuma makadam</t>
  </si>
  <si>
    <t>Odstranitev bet. travnih plošč s ponovnim polaganjem  po konćani gradnji na peščeno posteljico d=5 cm z vsemi deli in potrebnim materialom , upoštevati 10% novih</t>
  </si>
  <si>
    <t>KANAL ŠTORE 05-2</t>
  </si>
  <si>
    <t>KANAL ŠTORE 05-2 SKUPAJ:</t>
  </si>
  <si>
    <t>Nabava in vgraditev zaščitnih cevi PE 100 dA 400 SDR 11 L=4.00 m za izvedbo križanja s plinovodom, vključno z vsemi potrebnimi deli in materialom.</t>
  </si>
  <si>
    <r>
      <t>Asfaltiranje vozišča v sestavi-</t>
    </r>
    <r>
      <rPr>
        <b/>
        <i/>
        <sz val="10"/>
        <rFont val="Arial"/>
        <family val="2"/>
      </rPr>
      <t xml:space="preserve"> lokalna cesta</t>
    </r>
    <r>
      <rPr>
        <sz val="10"/>
        <rFont val="Arial"/>
        <family val="2"/>
      </rPr>
      <t>:                                       7 cm AC 22 base B50/70 A3</t>
    </r>
  </si>
  <si>
    <r>
      <t xml:space="preserve">Asfaltiranje vozišča v sestavi- </t>
    </r>
    <r>
      <rPr>
        <b/>
        <i/>
        <sz val="10"/>
        <rFont val="Arial"/>
        <family val="2"/>
      </rPr>
      <t>lokalna cesta</t>
    </r>
    <r>
      <rPr>
        <sz val="10"/>
        <rFont val="Arial"/>
        <family val="2"/>
      </rPr>
      <t xml:space="preserve">                                       4 cm AC 11 surf B50/70 A3                                    </t>
    </r>
  </si>
  <si>
    <t>Nalaganje in odvoz odvečnega materiala na začasni deponiji na stalno deponijo do 10 km vključno s stroški deponiranja. 85,94*1,25</t>
  </si>
  <si>
    <t>Nabava, transport in vgraditev tampona I (TP 32) v debelini 30 cm z uvaljanjem Ev2&gt;= 80 Mpa - makadamska cesta</t>
  </si>
  <si>
    <t>KANAL ŠTORE 05-1.2</t>
  </si>
  <si>
    <t>KANAL ŠTORE 05-1.2 SKUPAJ:</t>
  </si>
  <si>
    <t>Strojno rezanje betona d&lt;=10 cm</t>
  </si>
  <si>
    <t>Posek grmičevja s spravilom</t>
  </si>
  <si>
    <t>Posek drevja do fi 30 cm s spravilom</t>
  </si>
  <si>
    <t>Nalaganje in odvoz odvečnega materiala na začasni deponiji na stalno deponijo do 10 km vključno s stroški deponiranja. 91,52*1,25</t>
  </si>
  <si>
    <t>Valjanje in planiranje planuma ceste -makadam</t>
  </si>
  <si>
    <t>Nabava, transport in vgraditev betona C16/20 v dovoz  z vsem potrebnim delom in materialom.</t>
  </si>
  <si>
    <t>Nabava in vgraditev tipskega omaričastega žleba š= 20 cm z LZŽ rešetko 250 kN, vključno z vsemi potrebnimi deli in materialom L=4,00 m</t>
  </si>
  <si>
    <t>kos</t>
  </si>
  <si>
    <t>II./ Kanal ŠTORE 05-1</t>
  </si>
  <si>
    <t>III./ Kanal  ŠTORE 05-1.1</t>
  </si>
  <si>
    <t>V./ Kanal ŠTORE 05-1.2</t>
  </si>
  <si>
    <t>VI./ Kanal ŠTORE 05-1.3</t>
  </si>
  <si>
    <t>VII./ Kanal ŠTORE 05-2</t>
  </si>
  <si>
    <t>VIII./ Tlačni kanal 05-T1</t>
  </si>
  <si>
    <t>X./ Zaključna dela</t>
  </si>
  <si>
    <t>IV./ Kanal ŠTORE 05-1.1.1</t>
  </si>
  <si>
    <t>X./ OSTALA DELA</t>
  </si>
  <si>
    <t>X./</t>
  </si>
  <si>
    <t>OBJEKT: IZGRADNJA MANJKAJOČE JAVNE INFRASTRUKTURE ZA ODVAJANJE IN ČIŠČENJE ODPADNIH VODA V AGLOMERACIJI ŠTORE - OPOKA (PROŽINSKA VAS)</t>
  </si>
  <si>
    <t xml:space="preserve">IX./ Črpališče Č3 </t>
  </si>
  <si>
    <t>Nalaganje in odvoz odvečnega materiala na začasni deponiji na stalno deponijo do 10 km vključno s stroški deponiranja. 674,93*1,25</t>
  </si>
  <si>
    <t xml:space="preserve">Kompletna izdelava obešanja na mostno konstrukcijo po priloženm detajlu (gr. Priloga 2.6). Izoliranje cevi PP DN 250 z izolacijo 50 mm ter zaščiteno z Alu pločevini s samoreznimi vijaki L=6.00 m). Izdelava in montaža 3 podpor po detajlu IZ RF. </t>
  </si>
  <si>
    <t>Nalaganje in odvoz odvečnega materiala na začasni deponiji na stalno deponijo do 10 km vključno s stroški deponiranja.263,04*1,25</t>
  </si>
  <si>
    <t>Nabava in vgraditev zaščitnih cevi PE 100 dA 355 SDR 17 L=6.00 m za izvedbo križanja z vodovodom, vključno z vsemi potrebnimi deli in materialom.</t>
  </si>
  <si>
    <t xml:space="preserve">Dobava, transport peska in izdelava peščene posteljice iz dobavljenega materiala (4-8 mm) po navodilih nadzora, debeline 11 cm, v predvidenem nagibu, po celotni širini jarka                                       </t>
  </si>
  <si>
    <t xml:space="preserve">Dobava in vgraditev PE 100 SDR 17spojnega materiala  </t>
  </si>
  <si>
    <t>Obojka Agef plus PE d110 d110 SDR 17</t>
  </si>
  <si>
    <t>končnik s prirobnico PE100 d110 SDR 17</t>
  </si>
  <si>
    <t>Nabava in vgraditev fazonskih kosov PN 10</t>
  </si>
  <si>
    <t>FFK 45° DN 100</t>
  </si>
  <si>
    <t>T KOS DN 100/DN 50</t>
  </si>
  <si>
    <t>AVTOMATSKI ZRAČNIK DN 50 Z VGRADNO GARNITURO IN CESTNO KAPO kot npr. tip HAWLE 985 00</t>
  </si>
  <si>
    <t>Kompletna izdelava horizontalnega vrtanja in vgraditev PE oplaščene cevi, z izdelavo vhodne in izhodne gradbene jame s potrebno zaščito (opaž) in vzpostavitvijo obstoječega stanja (zemljina IV-V. ktg.)  -oplaščena cev kot SLM 2.0 PE 100 d110 x 6,6 SDR 17</t>
  </si>
  <si>
    <t>Izvedba priključka tlačnega kanala na obstoječ jašek kanalizacije s kronsko navrtavo za cev PE d110 in vstavitvijo gumi tesnila, vključno z vsem potrebnim delom in materialom.</t>
  </si>
  <si>
    <t>Tlačni preizkus kanalizacije z izdelavo končnga poročila skladno s SISTEN 1610</t>
  </si>
  <si>
    <t>Tlačni kanal 05-T1 SKUPAJ:</t>
  </si>
  <si>
    <t>Poz.</t>
  </si>
  <si>
    <t>Naziv dela in materiala</t>
  </si>
  <si>
    <t>kol</t>
  </si>
  <si>
    <t>EM</t>
  </si>
  <si>
    <t>Cena (Eur)</t>
  </si>
  <si>
    <t>Skupaj (Eur)</t>
  </si>
  <si>
    <t>1.</t>
  </si>
  <si>
    <t>RAZDELILCI</t>
  </si>
  <si>
    <t>(dobava in montaža)</t>
  </si>
  <si>
    <t>-</t>
  </si>
  <si>
    <t>prosto stoječa plastična omarica dim. 1000x1250x320, z visokim podstavkom, s strešico, ključavnico in z vgrajeno naslednjo opremo:</t>
  </si>
  <si>
    <t>glavno stikalo; preklopno mreža-0-agregat; 32A; z rdečim ročajem; 4 pol; 
kot npr. KG32A-K950- VE21</t>
  </si>
  <si>
    <t>instalacijski odklopnik 3f; C32A; 10kA 
(ožičeno po enopolni shemi)</t>
  </si>
  <si>
    <t>instalacijski odklopnik 3f; C6A; 10kA 
(ožičeno po enopolni shemi)</t>
  </si>
  <si>
    <t>KZS C16/30mA 
(ožičeno po enopolni shemi)</t>
  </si>
  <si>
    <t>instalacijski odklopnik 1f; C 2- 16A; 10kA 
(ožičeno po enopolni shemi)</t>
  </si>
  <si>
    <t>instalacijski odklopnik 2f; C 6A; 10kA 
(ožičeno po enopolni shemi)</t>
  </si>
  <si>
    <t>motorsko zaščitno stikalo 4-6.3A 3p, kot npr. GVRT10+11 4-6.3A</t>
  </si>
  <si>
    <t>samo vgradnja krmilno zaščitnega releja FPG 413</t>
  </si>
  <si>
    <t>odvodnik prenapetosti razred II; (8/20)µs; Uc=275V; Iskra zaščite ISPRO CR 160/275 4+0</t>
  </si>
  <si>
    <t>natičnica 400 V; 50 Hz; 32 A; 5pol; IP67 za priklop DEA</t>
  </si>
  <si>
    <t>vtičnica 230 V; 50 Hz; na DIN letev</t>
  </si>
  <si>
    <t xml:space="preserve">svetilka s stikalom in vtičnico 230 V; 50 Hz v razdelilcu </t>
  </si>
  <si>
    <t>grelec 100W za DIN letev</t>
  </si>
  <si>
    <t xml:space="preserve">ventilator s filtrom IP65 </t>
  </si>
  <si>
    <t>zračnik s filtrom</t>
  </si>
  <si>
    <t>končno stikalo na vratih 1xNO 1xNC</t>
  </si>
  <si>
    <t>termostat NC za gralec na DIN letev 0-60C</t>
  </si>
  <si>
    <t>termostat NO za ventilator na DIN letev 0-60C</t>
  </si>
  <si>
    <t>prenapetostna zaščita 
enakovredno kot npr.: Phoenix Contact MT-2PE-230VAC</t>
  </si>
  <si>
    <t>napetostni nadzorni rele  UR5P3011</t>
  </si>
  <si>
    <t>prenapetostna zaščita PZV 301 24VDC</t>
  </si>
  <si>
    <t>Tipka RUMENA 1NO, enakovredno kot npr. RMQ Titan M22 kpl z nosilcem oznake, adapterjem in stikalnim elementom, montaža na DIN letev</t>
  </si>
  <si>
    <t>stikalo preklopno 1-0-2;25A 2p; CG8A211 VE21</t>
  </si>
  <si>
    <t>krmilno preklopno stikalo 0-1-2-3, 20A, 2p, pritrditev na letev</t>
  </si>
  <si>
    <t>krmilno preklopno stikalo 1-2, 25A, 2p, pritrditev na letev</t>
  </si>
  <si>
    <t>krmilno stikalo 0-1, 25A, 1p, pritrditev na letev</t>
  </si>
  <si>
    <t>stikalo izklopno 0-1; 25A; 1p CG8A200 VE12</t>
  </si>
  <si>
    <t>UPS brezprekinitveno napajanje 2200VA (1750W), On-line faze 1/1, dvojna pretvorba, RIELLO AROS Sentinel PRO 2200
kpl z relejna kartica za UPS, MULTICOM 382</t>
  </si>
  <si>
    <t xml:space="preserve">pomožni rele Schrack tip PT 570024 (24VDC); 6A; kpl s podnožjem in LED modulom </t>
  </si>
  <si>
    <t>pomožni rele Schrack tip PT 570524 (24 VAC) kpl s podnožjem in LED modulom</t>
  </si>
  <si>
    <t>stabiliziran usmernik  230VAC / 24VDC 5A</t>
  </si>
  <si>
    <t>stabiliziran usmernik  230VAC / 12VDC 10A</t>
  </si>
  <si>
    <t>transformator ločilni 230VAC/24VAC 100VA</t>
  </si>
  <si>
    <t>krmilnik z naslednjimi konfiguracijami kot npr.:</t>
  </si>
  <si>
    <t xml:space="preserve">krmilnik UNITRONICS V570-57-T20B, OPLC Vision, LCD prikazovalnik </t>
  </si>
  <si>
    <t>EX-A2X I/O Expansion Module Adapter</t>
  </si>
  <si>
    <t>I/O Expansion Modul Ex-D16A3-RO8; 16DI, 3AI, 8RO</t>
  </si>
  <si>
    <t>I/O Expansion Modul IO-D0808; 8DI,8DO</t>
  </si>
  <si>
    <t xml:space="preserve">izdelava aplikativne programske opreme za krmilnik
-  18x DI
-  4x DO
-  1x AI
</t>
  </si>
  <si>
    <t>kpl</t>
  </si>
  <si>
    <t>izdelava SCADA aplikacije v nadzornem centru, prenos podatkov po UKV povezavi, zagon in testiranje</t>
  </si>
  <si>
    <t>usposabljanje in izobraževanje upravljalca sistema ter testiranje in spuščanje v pogon</t>
  </si>
  <si>
    <t>izdelava projekta radijskih zvez in pridobitev radijskega dovoljenja</t>
  </si>
  <si>
    <t>UKV modem, 
enakovredno kot npr. AN1200R, 1200/2400 Modbus</t>
  </si>
  <si>
    <t>UKV postaja,
enakovredno kot npr. Motorola CM 340, VX-2000U 440-470 MHz</t>
  </si>
  <si>
    <t xml:space="preserve">PREHOD N--BNC S KABLOM 1M </t>
  </si>
  <si>
    <t xml:space="preserve">sponka VS 16mm2 </t>
  </si>
  <si>
    <t xml:space="preserve">sponka VS 6mm2 </t>
  </si>
  <si>
    <t xml:space="preserve">sponka VS 4mm2 </t>
  </si>
  <si>
    <t>letev pritrdilna DIN</t>
  </si>
  <si>
    <t>drobni in vezni instalacijski material</t>
  </si>
  <si>
    <t xml:space="preserve"> </t>
  </si>
  <si>
    <t>RAZDELILEC skupaj:</t>
  </si>
  <si>
    <t>2.</t>
  </si>
  <si>
    <t>KABELSKI RAZVOD</t>
  </si>
  <si>
    <t>kabel NYY-J 4 x 10mm2</t>
  </si>
  <si>
    <t>kabel NYY-J 5 x 10mm2</t>
  </si>
  <si>
    <t>kabel H07RR 3x0,75 mm2 gumi</t>
  </si>
  <si>
    <t>žica H07V-K 16 mm2</t>
  </si>
  <si>
    <t>žica H07V-K 6 mm2</t>
  </si>
  <si>
    <t>KABELSKI RAZVOD skupaj:</t>
  </si>
  <si>
    <t>3.</t>
  </si>
  <si>
    <t>OSTALI ELEKTROINSTALACIJSKI MATERIAL in DELA</t>
  </si>
  <si>
    <t>cev Stigmaflex fi 75mm</t>
  </si>
  <si>
    <t>zaščitni trak (pozor elektrika)</t>
  </si>
  <si>
    <t>dobava in montaža končnega stikala za kontrolo vstopa</t>
  </si>
  <si>
    <t>dobava in montaža zvezdne merilne sonde PPI 100 EItra  komplet z tipskim kablom  20m</t>
  </si>
  <si>
    <t>polaganja tipskega kabla za priklop črpalk do 20m</t>
  </si>
  <si>
    <t>dobava in montaža nivojskih stikal hruška komplet s tipskim kablom 20m</t>
  </si>
  <si>
    <t xml:space="preserve">INOX zaščitna cev premera 0.5"-1";za zaščito kablov; komplet s pritrditvami </t>
  </si>
  <si>
    <t>kabelska polica PK 100 Rf komplet s spojnim in nosilnim materialom</t>
  </si>
  <si>
    <t>kabelska polica PK 50 Rf komplet s spojnim in nosilnim materialom</t>
  </si>
  <si>
    <t>inox objemke za pritrditev nivojne sonde</t>
  </si>
  <si>
    <t>Inox trak 30x3,5mm</t>
  </si>
  <si>
    <t>izdelava galvanskih spojev iz INOX materiala</t>
  </si>
  <si>
    <t>razvodnica DIP dodatne izenačitve potenciala</t>
  </si>
  <si>
    <t>križne sponke INOX</t>
  </si>
  <si>
    <t>armaturna sponka 
enakovredno kot npr.: Hermi - KON09</t>
  </si>
  <si>
    <t>premaz za antikorozijsko zaščito bitumen</t>
  </si>
  <si>
    <t>kg</t>
  </si>
  <si>
    <t xml:space="preserve">Cu pletenica 16 mm2; dolžine  l=100 cm, cpl s kabel čevlji, vijaki in podložkami </t>
  </si>
  <si>
    <t xml:space="preserve">cevna objemka iz INOX nerjaveče pločevine premera 2" - 5", cpl s kabel čevlji, vijaki in podložkami </t>
  </si>
  <si>
    <t>dobava in motaža antenskega droga Inox (6m) s temeljem</t>
  </si>
  <si>
    <t>UKV antena,
enakovredno kot npr.:  YAGI AD-40/4-3, kpl. s kablom RG214 (cca 15m), BNC konektorji in antensko zaščito ASP-01</t>
  </si>
  <si>
    <t>zatesnitev uvodov kablov v črpališče</t>
  </si>
  <si>
    <t>drobni montažni  material</t>
  </si>
  <si>
    <t>OSTALI MATERIAL in DELA skupaj:</t>
  </si>
  <si>
    <t>4.</t>
  </si>
  <si>
    <t>PRIKLOPI</t>
  </si>
  <si>
    <t>dvostranski priklop kabla 4x10mm2</t>
  </si>
  <si>
    <t>priklop črpalke 2,2 kW</t>
  </si>
  <si>
    <t>priklop nivojske sonde</t>
  </si>
  <si>
    <t>priklop plovno stikalo</t>
  </si>
  <si>
    <t>priklop končnega stikala</t>
  </si>
  <si>
    <t>PRIKLOPI skupaj:</t>
  </si>
  <si>
    <t>5.</t>
  </si>
  <si>
    <t>GRADBENA DELA</t>
  </si>
  <si>
    <t>izkop in zasutje stojnega mesta za temelj razdelilca</t>
  </si>
  <si>
    <t>izdelava betonske podloge za temelj razdelilca dim. 1,0x1,0x0,3 m</t>
  </si>
  <si>
    <t>izkop in zasutje jarka globine 0.9 m in 0.3 m širine ter ponovna zatravitev oz. vrnitev v prvotno stanje</t>
  </si>
  <si>
    <t>GRADBENA DELA skupaj :</t>
  </si>
  <si>
    <t>RAZDELILEC</t>
  </si>
  <si>
    <t>6.</t>
  </si>
  <si>
    <t xml:space="preserve">PRIPRAVA DELA IN TRANSPORT </t>
  </si>
  <si>
    <t>7.</t>
  </si>
  <si>
    <t>NEPREDVIDENA DELA poz. 1- 5 10%</t>
  </si>
  <si>
    <t>8.</t>
  </si>
  <si>
    <t>STROŠKI ZAVAROVANJA OPREME MED IZVAJANJEM DEL IN PO IZVEDBI DEL V GARANCIJSKEM ROKU</t>
  </si>
  <si>
    <t>9.</t>
  </si>
  <si>
    <t>MERITVE ZAŠČITE PROTI UDARU ELEKTRIČNEGA TOKA, IZOLACIJSKE TRDNOSTI KABELSKIH VODNIKOV, GALVANSKIH POVEZAV KOVINSKIH MAS IN PONIKALNE UPORNOSTI STRELOVODNE OZEMLJITVE IN IZDAJA USTREZNE DOKUMENTACIJE V SKLADU S PREDPISI IN PROTOKOLI</t>
  </si>
  <si>
    <t>10.</t>
  </si>
  <si>
    <t>GEODETSKI POSNETEK</t>
  </si>
  <si>
    <t>11.</t>
  </si>
  <si>
    <t>IZDELAVA PID</t>
  </si>
  <si>
    <t>EUR</t>
  </si>
  <si>
    <t>stev</t>
  </si>
  <si>
    <t>postavka</t>
  </si>
  <si>
    <t>em</t>
  </si>
  <si>
    <t>količina</t>
  </si>
  <si>
    <t>cena/em</t>
  </si>
  <si>
    <t>suma</t>
  </si>
  <si>
    <t>Zakoličba objekta</t>
  </si>
  <si>
    <t>Strojni izkop zemljine III.-IV.ktg</t>
  </si>
  <si>
    <t xml:space="preserve">(80% strojno, 20 % ročno) </t>
  </si>
  <si>
    <t>vertikalni z razpiranjem in</t>
  </si>
  <si>
    <t xml:space="preserve">nalaganjem na vozilo </t>
  </si>
  <si>
    <t>III. ktg 30 %</t>
  </si>
  <si>
    <t>IV. ktg 70 %</t>
  </si>
  <si>
    <t>0-2 m</t>
  </si>
  <si>
    <t>m3</t>
  </si>
  <si>
    <t>2-4 m</t>
  </si>
  <si>
    <t xml:space="preserve">Odvoz izkopanega materiala na </t>
  </si>
  <si>
    <t>lokalno deponijo do 1.00 km</t>
  </si>
  <si>
    <t>(87.08*1,25)</t>
  </si>
  <si>
    <t xml:space="preserve">Nabava, montaža in demontaža </t>
  </si>
  <si>
    <t>vertikalnega opaža po tehnologiji</t>
  </si>
  <si>
    <t>izvajalca</t>
  </si>
  <si>
    <t>m2</t>
  </si>
  <si>
    <t>Planiranje dna jarka</t>
  </si>
  <si>
    <t>(ročno)</t>
  </si>
  <si>
    <t>Nabava in vgradnja betona C12/15</t>
  </si>
  <si>
    <t>v debelini 0.10 m3/m2</t>
  </si>
  <si>
    <t xml:space="preserve">Nabava, vgradnja in montaža </t>
  </si>
  <si>
    <t xml:space="preserve">Svetla višina jaška </t>
  </si>
  <si>
    <t>H=4.02 m:</t>
  </si>
  <si>
    <t xml:space="preserve">Jašek  </t>
  </si>
  <si>
    <t xml:space="preserve">Jašek iz vodonepropustnega,  </t>
  </si>
  <si>
    <t>armiranega betona C45/55 XA2T  skladno</t>
  </si>
  <si>
    <t>s standardi (DIN 4281,DIN 1046);</t>
  </si>
  <si>
    <t xml:space="preserve">jašek sestavljen iz monolitnega dna </t>
  </si>
  <si>
    <t xml:space="preserve">in ploščo  dimenzionirano na </t>
  </si>
  <si>
    <t xml:space="preserve">prometno obtežbo (SLW 30 ) </t>
  </si>
  <si>
    <t xml:space="preserve">in zaščitnim premazom za agresivno </t>
  </si>
  <si>
    <t>okolje Ph 3,5-14 npr. MC-RIM.</t>
  </si>
  <si>
    <t>kot npr. WET</t>
  </si>
  <si>
    <t xml:space="preserve">Pokrov </t>
  </si>
  <si>
    <t xml:space="preserve">Pokrov iz nerjavečega jekla </t>
  </si>
  <si>
    <t>ključavnico, vgrajen v krovno ploščo</t>
  </si>
  <si>
    <t xml:space="preserve">dimenzije pokrova prilagoditi </t>
  </si>
  <si>
    <t>črpalkam!</t>
  </si>
  <si>
    <t xml:space="preserve">Dotok </t>
  </si>
  <si>
    <t>Izdelava preboja za cev PP DN 250</t>
  </si>
  <si>
    <t>vključno tesnilo DN 250</t>
  </si>
  <si>
    <t xml:space="preserve">Odtok </t>
  </si>
  <si>
    <t>Izdelava preboja za cev DN 80</t>
  </si>
  <si>
    <t>vključno tesnilo DN 80</t>
  </si>
  <si>
    <t xml:space="preserve">Priključki (vključno preboji) </t>
  </si>
  <si>
    <t xml:space="preserve">Vsi priključki morajo biti vodotesni </t>
  </si>
  <si>
    <t xml:space="preserve">ter zatesnjeni </t>
  </si>
  <si>
    <t>DN 100 za prezračevanje</t>
  </si>
  <si>
    <t>dA 75 za elektro kable</t>
  </si>
  <si>
    <t>sidrni vijaki 4xM16 z ampulami za sidranje</t>
  </si>
  <si>
    <t>Zasun DN 80, PN 16 s prirobnicami</t>
  </si>
  <si>
    <t>epoksi zaščita</t>
  </si>
  <si>
    <t>skupaj</t>
  </si>
  <si>
    <t>eur</t>
  </si>
  <si>
    <t>Nabava in vgraditev fazonskih kosov</t>
  </si>
  <si>
    <t>in armature</t>
  </si>
  <si>
    <t>FFR DN 80/DN 100 PN 10</t>
  </si>
  <si>
    <t>varilna spojka dA 110 SDR 11 s prosto</t>
  </si>
  <si>
    <t>prirobnico</t>
  </si>
  <si>
    <t xml:space="preserve">Dobava in vgraditev cevi iz </t>
  </si>
  <si>
    <t xml:space="preserve">AISI 304 PN 10 - mere </t>
  </si>
  <si>
    <t xml:space="preserve">prilagoditi na licu mesta, vključno </t>
  </si>
  <si>
    <t>prirobnice</t>
  </si>
  <si>
    <t>FF DN 80   L=1000 MM</t>
  </si>
  <si>
    <t>FF DN 80   L=1800 MM</t>
  </si>
  <si>
    <t>Dobava in vgraditev krogelnega</t>
  </si>
  <si>
    <t xml:space="preserve">ventila PN 16 DN 50 za fekalne </t>
  </si>
  <si>
    <t>odplake, C priključka s pokrovom ter</t>
  </si>
  <si>
    <t xml:space="preserve">priključka 1/2" za kompresor, koleno </t>
  </si>
  <si>
    <t xml:space="preserve">DN 50 </t>
  </si>
  <si>
    <t>na tlačni cevovod v črpališču</t>
  </si>
  <si>
    <t>z vsem potrebnim materialom</t>
  </si>
  <si>
    <t xml:space="preserve">Nalaganje, dovoz do 1.0 km in </t>
  </si>
  <si>
    <t xml:space="preserve">z izkopanim materialom </t>
  </si>
  <si>
    <t>Nalaganje in odvoz odvečnega</t>
  </si>
  <si>
    <t>materiala na deponijo do 10 km</t>
  </si>
  <si>
    <t>16*1,25</t>
  </si>
  <si>
    <t>L=4,00 m</t>
  </si>
  <si>
    <t>material: AISI 304</t>
  </si>
  <si>
    <t>Izdelava, dobava in montaža jeklene varjene podkonstrukcije za izvedbo podesta izdelanega iz jekla kvalitete AISI 304. Izvedba po načrtu  (ocena kg)</t>
  </si>
  <si>
    <t>Izdelava, nabava in montaža pohodnih rešetk iz umetnih mas (poliesterske), kompletno z dobavo okvirja in pritrditvijo  - montaža na kovinsko podkonstrukcijo podesta</t>
  </si>
  <si>
    <t>Fekalno črpališče Č3:</t>
  </si>
  <si>
    <t>ME</t>
  </si>
  <si>
    <t>(dobava in montaža )</t>
  </si>
  <si>
    <t>varovalni element 00.ST6 kpl. z varovalkami  1x3x20A</t>
  </si>
  <si>
    <t xml:space="preserve">direktni trifazni dvosmerni števec delovne energije in jalove energije z notranjo uro razreda točnosti A za delovno energijo in 2 za jalovo energijo z G3-PLC komunikacijskim vmesnikom </t>
  </si>
  <si>
    <t>odvodnik prenapetosti
razred I
Uc=275V, Up&lt;1,2 kV, 
Iimp=12,5 kA, 10/350 µs
komplet z ozemljitveno šino (kot npr. ETITEC B, ETI)</t>
  </si>
  <si>
    <t>napisne ploščice, oznake ter drobni in vezni material</t>
  </si>
  <si>
    <t>RAZDELILNIK SKUPAJ:</t>
  </si>
  <si>
    <t>OSTALI MATERIAL IN DELA</t>
  </si>
  <si>
    <t>OSTALI MATERIAL IN DELA skupaj :</t>
  </si>
  <si>
    <t>NEPREDVIDENA DELA  (5%)</t>
  </si>
  <si>
    <t>NADZOR ELEKTRODISTRIBUCIJE IN STIKALNE MANIPULACIJE PRI PRIKLOPU OBJEKTA</t>
  </si>
  <si>
    <t>POVPREČNI STROŠKI PRIKLJUČEVANJA (ELEKTROENERGETSKI PRISPEVEK) 1x3x20 A varovalka</t>
  </si>
  <si>
    <t>STROŠKI UREDITVE DOKUMENTACIJE ZA PRIKLJUČITEV NA EE OMREŽJE PO PREDHODNO PRIDOBLJENEM POOBLASTILU S STRANI INVESTITORJA</t>
  </si>
  <si>
    <t>PREGLED, PREIZKUS in MERITVE ZAŠČITE PROTI UDARU ELEKTRIČNEGA TOKA, IZOLACIJSKE TRDNOSTI KABELSKIH VODNIKOV, GALVANSKIH POVEZAV KOVINSKIH MAS IN  PONIKALNE UPORNOSTI OZEMLJITVE TER IZDAJA USTREZNE DOKUMENTACIJE V SKLADU S PREDPISI IN PROTOKOLI</t>
  </si>
  <si>
    <t>PROJEKTANTSKI NADZOR</t>
  </si>
  <si>
    <t xml:space="preserve">IZDELAVA NAČRTA PID </t>
  </si>
  <si>
    <t>IX-II./ Elektro NN priključek Č3</t>
  </si>
  <si>
    <t>IX-I./ Elektro oprema črpališča Č3</t>
  </si>
  <si>
    <t>IX./ Fekalno črpališče Č3</t>
  </si>
  <si>
    <t>IX./</t>
  </si>
  <si>
    <t xml:space="preserve">IX-I./ Elektro oprema črpališča Č3 </t>
  </si>
  <si>
    <t>Elektro oprema črpališča Č3 SKUPAJ (brez DDV)</t>
  </si>
  <si>
    <t>RAZDELILNIK PSMO ČRPALIŠČE Č3</t>
  </si>
  <si>
    <t xml:space="preserve">Prostostoječa plastična omarica PS PMO izdelana iz umetne mase: Schrack MAXIPOL dim. 500x1000x312, enokrilna vrata;  ključavnico, podstavek dim. 500x960x320, montažno ploščo in z vgrajeno naslednjo opremo:
</t>
  </si>
  <si>
    <t>PEN zbiralka, vrstne sponke</t>
  </si>
  <si>
    <t>(dobava in polaganje)</t>
  </si>
  <si>
    <t>Kabel EAY2Y-J 4x35+1,5 mm2, položen na peščeno posteljico oziroma uvlečen v kabelsko kanalizacijo</t>
  </si>
  <si>
    <t>KABELSKI RAZVOD skupaj :</t>
  </si>
  <si>
    <t>izdelava betonske podloge za temelj razdelilca dim. 0,75x0,45x0,3 m</t>
  </si>
  <si>
    <t>izkop in zasutje jarka ktg. IV. globine 0.9 m in 0.3 m širine ter ponovna zatravitev oz. vrnitev v prvotno stanje</t>
  </si>
  <si>
    <t>obbetoniranje zaščitne cevi fi 110 mm na križanjih s povoznimi površinami</t>
  </si>
  <si>
    <t>tm</t>
  </si>
  <si>
    <t>cev zaščitna DWP 110 mm rdeča</t>
  </si>
  <si>
    <t>rezanje asflatnih površin širine 60cm, izkop in odstranitev ter po zasipu, utrditev terena in ponovno asfaltiranje</t>
  </si>
  <si>
    <t>zakoličba trase kablovoda</t>
  </si>
  <si>
    <t>opozorilni trak</t>
  </si>
  <si>
    <t>valjanec 25x4 mm</t>
  </si>
  <si>
    <t>križna sponka</t>
  </si>
  <si>
    <t>Izdelava samoskrčnih kabelskih končnikov za kabel iz PVC mase (4 x35 mm2), montaža kabelskih čevljev Al-Cu</t>
  </si>
  <si>
    <t>dvostranski priklop dovodnega kabla EAY2Y-J 4x35+1,5  mm² za napajanje razdelilca PS-PMO kpl. z drobnim materialom</t>
  </si>
  <si>
    <t>odvodnik prenapetosti razred I, MOSIPO 15/440 izvedba za montažo na NN drog</t>
  </si>
  <si>
    <t>vertikalna INOX zaščita za valjenec h=1,5m</t>
  </si>
  <si>
    <t>pritrdilni element valjenca na NN drog</t>
  </si>
  <si>
    <t>križna sponka INOX</t>
  </si>
  <si>
    <t>konzola</t>
  </si>
  <si>
    <t>odcepne sponke 35mm2</t>
  </si>
  <si>
    <t>ozemljitvena vrv 10 m</t>
  </si>
  <si>
    <t>mehanska zaščita kabla na NN drogu</t>
  </si>
  <si>
    <t>objemka za fiksiranje kabla na NN drog</t>
  </si>
  <si>
    <t>premaz za antikorozijsko zaščito</t>
  </si>
  <si>
    <t>12.</t>
  </si>
  <si>
    <t>13.</t>
  </si>
  <si>
    <t>Elektro NN priključek Č3 SKUPAJ (brez DDV)</t>
  </si>
  <si>
    <t>Nalaganje in odvoz odvečnega materiala na začasni deponiji na stalno deponijo do 10 km vključno s stroški deponiranja 97.81*1,25</t>
  </si>
  <si>
    <t>Dobava kanalizacijskih cevi kot npr. SLM 2.0 PE 100 dA 110 x 6,6  SDR 17 za vrtanje</t>
  </si>
  <si>
    <r>
      <t xml:space="preserve">jaška za črpalke </t>
    </r>
    <r>
      <rPr>
        <b/>
        <sz val="12"/>
        <rFont val="Arial Narrow"/>
        <family val="2"/>
      </rPr>
      <t>DN 2000 mm</t>
    </r>
    <r>
      <rPr>
        <sz val="12"/>
        <rFont val="Arial Narrow"/>
        <family val="2"/>
        <charset val="238"/>
      </rPr>
      <t xml:space="preserve">: </t>
    </r>
  </si>
  <si>
    <t>Pinstal komplet (zaklep DN 80, tesnilo</t>
  </si>
  <si>
    <t>vijaki, matice)</t>
  </si>
  <si>
    <t>motorni kabel S3x2,5/3+S(4x0,5)-10 m</t>
  </si>
  <si>
    <t>držalo kabla1-27 mm</t>
  </si>
  <si>
    <t>Tlačno koleno DN 80 PN 16 , vodila 2", s prirobnico po ISO 7005-2</t>
  </si>
  <si>
    <t>Zg. Držalo vodil iz SS AISI316 s pritrdilnim kpl</t>
  </si>
  <si>
    <r>
      <t xml:space="preserve">Vodila 2" iz SS AISI 304 - </t>
    </r>
    <r>
      <rPr>
        <b/>
        <sz val="12"/>
        <rFont val="Arial Narrow"/>
        <family val="2"/>
      </rPr>
      <t>dobavi montažer</t>
    </r>
  </si>
  <si>
    <t>Vponka iz SS AISI316 nosilnost 900 kg</t>
  </si>
  <si>
    <t>Nepovratni kroglični ventil DN 80 PN 16 s prirobnicama po ISO 7005-2</t>
  </si>
  <si>
    <t>Zasun DN80 PN 16 s prirobnicama po ISO 7005-2</t>
  </si>
  <si>
    <t xml:space="preserve">kos </t>
  </si>
  <si>
    <t xml:space="preserve">T kos DN 80 s koleni 90 st (2kos) in </t>
  </si>
  <si>
    <t>prirobnicami (3 kos)</t>
  </si>
  <si>
    <t>zasip črpališča po končanih delih</t>
  </si>
  <si>
    <t xml:space="preserve">Kompletna izdelava zračnika za črpališče iz cevi DN 100 PN 10 AISI304 v sestavi :cev L=2,50 m, koleno 90 st. in ventilacijska kapa </t>
  </si>
  <si>
    <t>800 x 1400, klasa C 250 kN z</t>
  </si>
  <si>
    <t>Veriga iz SS AISI316, nosil. 500 kg, dolžine 9 m</t>
  </si>
  <si>
    <t>22</t>
  </si>
  <si>
    <t>Posip in uvaljanje bankin  š= 0,75 m</t>
  </si>
  <si>
    <t xml:space="preserve">plinskimi batnimi blažilci in </t>
  </si>
  <si>
    <t>črpališča</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</si>
  <si>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podprojekta Štore Opoka.</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</si>
  <si>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podprojekta Štore Opoka.</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</si>
  <si>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Štore Opoka.</t>
    </r>
  </si>
  <si>
    <t xml:space="preserve">Dobava in polaganje tlačnih kanalizacijskih cevi PE 100 dA 110 x 6,6  SDR 17, spajanje z elektrovarilnimi spojkami  </t>
  </si>
  <si>
    <t xml:space="preserve">Nabava in vgraditev karabin lestve z </t>
  </si>
  <si>
    <t xml:space="preserve">varovalom in vstopnim drogom </t>
  </si>
  <si>
    <r>
      <t xml:space="preserve">Izdelava PID-a ter dokazila o zanesljivosti objekta. Investitorju je potrebno predati dokumentacijo v </t>
    </r>
    <r>
      <rPr>
        <b/>
        <sz val="10"/>
        <rFont val="Arial"/>
        <family val="2"/>
        <charset val="238"/>
      </rPr>
      <t>treh izvodih za vse kanale in črpališče</t>
    </r>
  </si>
  <si>
    <t>8a</t>
  </si>
  <si>
    <t>Dobava, transport in montaža vmesnika, ki omogoča priključitev prenosnega računalnika s katerim lahko pregledamo vse podatke o delovanju črpalke (zgodovina) in nastavljamo parametre črpalke in se vgradi v elektro omarico črpališča.</t>
  </si>
  <si>
    <r>
      <t xml:space="preserve">Dobava, transport in montaža litoželezne potopne-pametne samočistilne črpalke za odpadno vodo in blato DN 80mm.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2"/>
        <rFont val="Arial Narrow"/>
        <family val="2"/>
        <charset val="238"/>
      </rPr>
      <t>Qč=6,0 l/s, Hč= 7,8mVS</t>
    </r>
  </si>
  <si>
    <t>OPOMBA: V postavkah del za pripravo in organizacijo gradbišča ponudnik upošteva tudi morebitne geodetske vzpostavitve mejnikov, ki so bili med gradnjo odstranjeni.</t>
  </si>
  <si>
    <t>OPOMBA: V postavkah del za izdelavo PID-a ponudnik upošteva tudi Izdelavo BCP obrazcev - banke cestnih podatkov skladno s Pravilnikom o načinu označevanja javnih cest, evidencah in objektih na njih, za vse rekonstruirane ceste, kjer kanalizacija poteka v cesti.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</si>
</sst>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0.00\ &quot;€&quot;;\-#,##0.00\ &quot;€&quot;"/>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0\ [$€-1]"/>
    <numFmt numFmtId="171" formatCode="#,##0.00_ ;\-#,##0.00\ "/>
    <numFmt numFmtId="172" formatCode="0.#"/>
    <numFmt numFmtId="173" formatCode="0."/>
    <numFmt numFmtId="174" formatCode="0.0_)"/>
    <numFmt numFmtId="175" formatCode="0.00_)"/>
    <numFmt numFmtId="176" formatCode="0.##"/>
  </numFmts>
  <fonts count="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4"/>
      <name val="Arial"/>
      <family val="2"/>
    </font>
    <font>
      <b/>
      <sz val="14"/>
      <name val="Arial"/>
      <family val="2"/>
    </font>
    <font>
      <sz val="11"/>
      <name val="Arial"/>
      <family val="2"/>
    </font>
    <font>
      <sz val="11"/>
      <name val="Calibri"/>
      <family val="2"/>
      <charset val="238"/>
      <scheme val="minor"/>
    </font>
    <font>
      <sz val="8"/>
      <name val="Arial CE"/>
      <family val="2"/>
      <charset val="238"/>
    </font>
    <font>
      <sz val="10"/>
      <color theme="0"/>
      <name val="Arial"/>
      <family val="2"/>
    </font>
    <font>
      <sz val="12"/>
      <name val="Arial Narrow"/>
      <family val="2"/>
      <charset val="238"/>
    </font>
    <font>
      <b/>
      <sz val="12"/>
      <name val="Arial Narrow"/>
      <family val="2"/>
      <charset val="238"/>
    </font>
    <font>
      <b/>
      <i/>
      <sz val="12"/>
      <name val="Arial Narrow"/>
      <family val="2"/>
    </font>
    <font>
      <b/>
      <i/>
      <u/>
      <sz val="12"/>
      <name val="Arial Narrow"/>
      <family val="2"/>
      <charset val="238"/>
    </font>
    <font>
      <b/>
      <sz val="12"/>
      <name val="Arial Narrow"/>
      <family val="2"/>
    </font>
    <font>
      <sz val="12"/>
      <color rgb="FFFF0000"/>
      <name val="Arial Narrow"/>
      <family val="2"/>
      <charset val="238"/>
    </font>
    <font>
      <sz val="12"/>
      <color indexed="10"/>
      <name val="Arial Narrow"/>
      <family val="2"/>
      <charset val="238"/>
    </font>
    <font>
      <sz val="11"/>
      <name val="Arial Narrow"/>
      <family val="2"/>
      <charset val="238"/>
    </font>
    <font>
      <sz val="12"/>
      <name val="Times New Roman CE"/>
      <family val="1"/>
      <charset val="238"/>
    </font>
    <font>
      <b/>
      <i/>
      <sz val="11"/>
      <name val="Arial"/>
      <family val="2"/>
      <charset val="238"/>
    </font>
    <font>
      <b/>
      <sz val="8"/>
      <name val="Arial"/>
      <family val="2"/>
      <charset val="238"/>
    </font>
    <font>
      <b/>
      <sz val="9"/>
      <name val="Arial"/>
      <family val="2"/>
      <charset val="238"/>
    </font>
    <font>
      <sz val="11"/>
      <name val="Times New Roman"/>
      <family val="1"/>
      <charset val="238"/>
    </font>
    <font>
      <i/>
      <sz val="10"/>
      <name val="Arial"/>
      <family val="2"/>
      <charset val="238"/>
    </font>
    <font>
      <b/>
      <i/>
      <sz val="12"/>
      <name val="Arial CE"/>
      <family val="2"/>
      <charset val="238"/>
    </font>
    <font>
      <b/>
      <sz val="11"/>
      <name val="Times New Roman"/>
      <family val="1"/>
      <charset val="238"/>
    </font>
    <font>
      <b/>
      <sz val="9"/>
      <name val="Arial"/>
      <family val="2"/>
    </font>
    <font>
      <sz val="12"/>
      <color rgb="FFFF0000"/>
      <name val="Arial Narrow"/>
      <family val="2"/>
    </font>
    <font>
      <sz val="12"/>
      <name val="Arial Narrow"/>
      <family val="2"/>
    </font>
    <font>
      <sz val="12"/>
      <color theme="1"/>
      <name val="Arial Narrow"/>
      <family val="2"/>
    </font>
  </fonts>
  <fills count="3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24997711111789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42">
    <xf numFmtId="0" fontId="0"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1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xf numFmtId="166" fontId="10" fillId="0" borderId="0"/>
    <xf numFmtId="0" fontId="12"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1" borderId="0" applyNumberFormat="0" applyBorder="0" applyAlignment="0" applyProtection="0"/>
    <xf numFmtId="0" fontId="16" fillId="23" borderId="19" applyNumberFormat="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24" borderId="0" applyNumberFormat="0" applyBorder="0" applyAlignment="0" applyProtection="0"/>
    <xf numFmtId="0" fontId="12" fillId="25" borderId="23"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24" fillId="0" borderId="24" applyNumberFormat="0" applyFill="0" applyAlignment="0" applyProtection="0"/>
    <xf numFmtId="0" fontId="25" fillId="30" borderId="25" applyNumberFormat="0" applyAlignment="0" applyProtection="0"/>
    <xf numFmtId="0" fontId="26" fillId="23" borderId="26" applyNumberFormat="0" applyAlignment="0" applyProtection="0"/>
    <xf numFmtId="0" fontId="27" fillId="10" borderId="0" applyNumberFormat="0" applyBorder="0" applyAlignment="0" applyProtection="0"/>
    <xf numFmtId="0" fontId="11" fillId="0" borderId="0"/>
    <xf numFmtId="0" fontId="28" fillId="14" borderId="26" applyNumberFormat="0" applyAlignment="0" applyProtection="0"/>
    <xf numFmtId="0" fontId="29" fillId="0" borderId="27" applyNumberFormat="0" applyFill="0" applyAlignment="0" applyProtection="0"/>
    <xf numFmtId="164" fontId="8" fillId="0" borderId="0" applyFont="0" applyFill="0" applyBorder="0" applyAlignment="0" applyProtection="0"/>
    <xf numFmtId="4" fontId="30" fillId="0" borderId="0"/>
    <xf numFmtId="166" fontId="10" fillId="0" borderId="0"/>
    <xf numFmtId="164" fontId="4" fillId="0" borderId="0" applyFont="0" applyFill="0" applyBorder="0" applyAlignment="0" applyProtection="0"/>
    <xf numFmtId="167" fontId="31" fillId="0" borderId="0"/>
    <xf numFmtId="0" fontId="13" fillId="0" borderId="0"/>
    <xf numFmtId="0" fontId="32" fillId="0" borderId="0"/>
    <xf numFmtId="167" fontId="31" fillId="0" borderId="0"/>
    <xf numFmtId="9" fontId="4"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4" fillId="0" borderId="0"/>
    <xf numFmtId="164" fontId="4" fillId="0" borderId="0" applyFont="0" applyFill="0" applyBorder="0" applyAlignment="0" applyProtection="0"/>
    <xf numFmtId="166" fontId="10" fillId="0" borderId="0"/>
    <xf numFmtId="0" fontId="3" fillId="0" borderId="0"/>
    <xf numFmtId="0" fontId="8" fillId="0" borderId="0"/>
    <xf numFmtId="164"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166" fontId="10" fillId="0" borderId="0"/>
    <xf numFmtId="0" fontId="4" fillId="0" borderId="0"/>
    <xf numFmtId="166" fontId="10" fillId="0" borderId="0"/>
    <xf numFmtId="166" fontId="10" fillId="0" borderId="0"/>
    <xf numFmtId="166" fontId="33" fillId="0" borderId="0"/>
    <xf numFmtId="0" fontId="30" fillId="0" borderId="0"/>
    <xf numFmtId="0" fontId="12" fillId="0" borderId="0"/>
    <xf numFmtId="0" fontId="4" fillId="0" borderId="0"/>
    <xf numFmtId="0" fontId="4" fillId="0" borderId="0"/>
    <xf numFmtId="0" fontId="4" fillId="0" borderId="0"/>
    <xf numFmtId="0" fontId="4" fillId="0" borderId="0"/>
    <xf numFmtId="167"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5" fillId="32" borderId="31" applyNumberFormat="0" applyFont="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4" fontId="4"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4" fillId="0" borderId="0"/>
    <xf numFmtId="0" fontId="2"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1" fillId="0" borderId="0"/>
    <xf numFmtId="0" fontId="1" fillId="0" borderId="0"/>
    <xf numFmtId="0" fontId="35" fillId="0" borderId="0"/>
    <xf numFmtId="44" fontId="1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4" fillId="0" borderId="0">
      <alignment vertical="center"/>
    </xf>
    <xf numFmtId="0" fontId="12" fillId="0" borderId="0"/>
    <xf numFmtId="0" fontId="4" fillId="0" borderId="0"/>
    <xf numFmtId="0" fontId="4" fillId="0" borderId="0"/>
    <xf numFmtId="0" fontId="4" fillId="0" borderId="0" applyFill="0" applyBorder="0"/>
  </cellStyleXfs>
  <cellXfs count="573">
    <xf numFmtId="0" fontId="0" fillId="0" borderId="0" xfId="0"/>
    <xf numFmtId="0" fontId="0" fillId="0" borderId="0" xfId="0" applyAlignment="1">
      <alignment horizontal="center" vertical="top"/>
    </xf>
    <xf numFmtId="2" fontId="0" fillId="0" borderId="0" xfId="0" applyNumberFormat="1" applyAlignment="1">
      <alignment horizontal="center"/>
    </xf>
    <xf numFmtId="0" fontId="6" fillId="0" borderId="2" xfId="0" applyFont="1" applyBorder="1"/>
    <xf numFmtId="0" fontId="6" fillId="0" borderId="1" xfId="0" applyFont="1" applyBorder="1" applyAlignment="1">
      <alignment horizontal="center" vertical="top"/>
    </xf>
    <xf numFmtId="0" fontId="6" fillId="0" borderId="9" xfId="0" applyFont="1" applyBorder="1" applyAlignment="1">
      <alignment horizontal="center" vertical="top"/>
    </xf>
    <xf numFmtId="0" fontId="6" fillId="0" borderId="2" xfId="0" applyFont="1" applyBorder="1" applyAlignment="1">
      <alignment horizontal="center"/>
    </xf>
    <xf numFmtId="2" fontId="6" fillId="0" borderId="2" xfId="0" applyNumberFormat="1" applyFont="1" applyBorder="1" applyAlignment="1">
      <alignment horizontal="center"/>
    </xf>
    <xf numFmtId="0" fontId="6" fillId="0" borderId="15" xfId="0" applyFont="1" applyBorder="1" applyAlignment="1">
      <alignment horizontal="center" vertical="top"/>
    </xf>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6" xfId="0" applyFont="1" applyBorder="1"/>
    <xf numFmtId="0" fontId="6" fillId="0" borderId="10" xfId="0" applyFont="1" applyBorder="1" applyAlignment="1">
      <alignment horizontal="center"/>
    </xf>
    <xf numFmtId="2" fontId="6" fillId="0" borderId="10" xfId="0" applyNumberFormat="1" applyFont="1" applyBorder="1" applyAlignment="1">
      <alignment horizontal="center"/>
    </xf>
    <xf numFmtId="0" fontId="6" fillId="0" borderId="10" xfId="0" applyFont="1" applyBorder="1"/>
    <xf numFmtId="44" fontId="6" fillId="0" borderId="7" xfId="0" applyNumberFormat="1" applyFont="1" applyBorder="1"/>
    <xf numFmtId="44" fontId="6" fillId="0" borderId="17" xfId="0" applyNumberFormat="1" applyFont="1" applyBorder="1"/>
    <xf numFmtId="44" fontId="6" fillId="0" borderId="11" xfId="0" applyNumberFormat="1" applyFont="1" applyBorder="1"/>
    <xf numFmtId="44" fontId="7" fillId="0" borderId="6" xfId="0" applyNumberFormat="1" applyFont="1" applyBorder="1"/>
    <xf numFmtId="0" fontId="0" fillId="0" borderId="0" xfId="0"/>
    <xf numFmtId="0" fontId="6" fillId="31" borderId="12" xfId="0" applyFont="1" applyFill="1" applyBorder="1" applyAlignment="1">
      <alignment horizontal="center"/>
    </xf>
    <xf numFmtId="0" fontId="6" fillId="31" borderId="13" xfId="0" applyFont="1" applyFill="1" applyBorder="1"/>
    <xf numFmtId="44" fontId="6" fillId="31" borderId="14" xfId="0" applyNumberFormat="1" applyFont="1" applyFill="1" applyBorder="1"/>
    <xf numFmtId="0" fontId="0" fillId="31" borderId="0" xfId="0" applyFill="1"/>
    <xf numFmtId="0" fontId="36" fillId="0" borderId="0" xfId="0" applyFont="1"/>
    <xf numFmtId="0" fontId="37" fillId="2" borderId="29" xfId="0" applyFont="1" applyFill="1" applyBorder="1" applyAlignment="1">
      <alignment horizontal="center" vertical="center"/>
    </xf>
    <xf numFmtId="2" fontId="37" fillId="2" borderId="29" xfId="0" applyNumberFormat="1" applyFont="1" applyFill="1" applyBorder="1" applyAlignment="1">
      <alignment horizontal="center" vertical="center"/>
    </xf>
    <xf numFmtId="0" fontId="5" fillId="0" borderId="0" xfId="0" applyFont="1"/>
    <xf numFmtId="0" fontId="37" fillId="8" borderId="1" xfId="0" applyFont="1" applyFill="1" applyBorder="1" applyAlignment="1">
      <alignment horizontal="left" vertical="center"/>
    </xf>
    <xf numFmtId="0" fontId="5" fillId="8" borderId="2" xfId="0" applyFont="1" applyFill="1" applyBorder="1" applyAlignment="1">
      <alignment horizontal="center"/>
    </xf>
    <xf numFmtId="2" fontId="5" fillId="8" borderId="2" xfId="0" applyNumberFormat="1" applyFont="1" applyFill="1" applyBorder="1" applyAlignment="1">
      <alignment horizontal="center"/>
    </xf>
    <xf numFmtId="0" fontId="5" fillId="0" borderId="34" xfId="0" applyFont="1" applyBorder="1" applyAlignment="1">
      <alignment horizontal="left" vertical="center" wrapText="1"/>
    </xf>
    <xf numFmtId="0" fontId="5" fillId="0" borderId="34" xfId="0" applyFont="1" applyBorder="1" applyAlignment="1">
      <alignment horizontal="center"/>
    </xf>
    <xf numFmtId="2" fontId="5" fillId="0" borderId="34" xfId="0" applyNumberFormat="1" applyFont="1" applyBorder="1" applyAlignment="1">
      <alignment horizontal="center"/>
    </xf>
    <xf numFmtId="44" fontId="5" fillId="0" borderId="38" xfId="1" applyNumberFormat="1" applyFont="1" applyBorder="1" applyAlignment="1">
      <alignment horizontal="right"/>
    </xf>
    <xf numFmtId="0" fontId="5" fillId="0" borderId="8" xfId="0" applyFont="1" applyBorder="1" applyAlignment="1">
      <alignment horizontal="left" vertical="center" wrapText="1"/>
    </xf>
    <xf numFmtId="0" fontId="5" fillId="0" borderId="8" xfId="0" applyFont="1" applyBorder="1" applyAlignment="1">
      <alignment horizontal="center"/>
    </xf>
    <xf numFmtId="2" fontId="5" fillId="0" borderId="8" xfId="0" applyNumberFormat="1" applyFont="1" applyBorder="1" applyAlignment="1">
      <alignment horizontal="center"/>
    </xf>
    <xf numFmtId="44" fontId="5" fillId="0" borderId="33" xfId="1" applyNumberFormat="1" applyFont="1" applyBorder="1" applyAlignment="1">
      <alignment horizontal="right"/>
    </xf>
    <xf numFmtId="0" fontId="5" fillId="0" borderId="8" xfId="24" applyFont="1" applyBorder="1" applyAlignment="1">
      <alignment horizontal="left" vertical="center" wrapText="1"/>
    </xf>
    <xf numFmtId="0" fontId="5" fillId="0" borderId="8" xfId="0" applyFont="1" applyFill="1" applyBorder="1" applyAlignment="1">
      <alignment horizontal="center"/>
    </xf>
    <xf numFmtId="0" fontId="5" fillId="0" borderId="8" xfId="0" applyFont="1" applyBorder="1" applyAlignment="1">
      <alignment horizontal="left" vertical="center" wrapText="1" shrinkToFit="1"/>
    </xf>
    <xf numFmtId="0" fontId="5" fillId="0" borderId="8" xfId="24" applyFont="1" applyBorder="1" applyAlignment="1">
      <alignment horizontal="center"/>
    </xf>
    <xf numFmtId="2" fontId="5" fillId="0" borderId="8" xfId="24" applyNumberFormat="1" applyFont="1" applyFill="1" applyBorder="1" applyAlignment="1">
      <alignment horizontal="center"/>
    </xf>
    <xf numFmtId="44" fontId="5" fillId="0" borderId="8" xfId="1" applyNumberFormat="1" applyFont="1" applyBorder="1" applyAlignment="1">
      <alignment horizontal="right"/>
    </xf>
    <xf numFmtId="0" fontId="5" fillId="0" borderId="8" xfId="0" applyFont="1" applyBorder="1" applyAlignment="1" applyProtection="1">
      <alignment horizontal="center"/>
    </xf>
    <xf numFmtId="44" fontId="5" fillId="0" borderId="8" xfId="0" applyNumberFormat="1" applyFont="1" applyBorder="1" applyAlignment="1" applyProtection="1">
      <alignment horizontal="right"/>
    </xf>
    <xf numFmtId="0" fontId="37" fillId="3" borderId="29" xfId="0" applyFont="1" applyFill="1" applyBorder="1" applyAlignment="1">
      <alignment horizontal="left" vertical="center"/>
    </xf>
    <xf numFmtId="0" fontId="37" fillId="3" borderId="29" xfId="0" applyFont="1" applyFill="1" applyBorder="1" applyAlignment="1">
      <alignment horizontal="center"/>
    </xf>
    <xf numFmtId="2" fontId="37" fillId="3" borderId="29" xfId="0" applyNumberFormat="1" applyFont="1" applyFill="1" applyBorder="1" applyAlignment="1">
      <alignment horizontal="center"/>
    </xf>
    <xf numFmtId="0" fontId="37" fillId="4" borderId="35" xfId="0" applyFont="1" applyFill="1" applyBorder="1" applyAlignment="1">
      <alignment horizontal="left" vertical="center"/>
    </xf>
    <xf numFmtId="0" fontId="37" fillId="4" borderId="35" xfId="0" applyFont="1" applyFill="1" applyBorder="1" applyAlignment="1">
      <alignment horizontal="center"/>
    </xf>
    <xf numFmtId="2" fontId="37" fillId="4" borderId="35" xfId="0" applyNumberFormat="1" applyFont="1" applyFill="1" applyBorder="1" applyAlignment="1">
      <alignment horizontal="center"/>
    </xf>
    <xf numFmtId="0" fontId="37" fillId="6" borderId="1" xfId="0" applyFont="1" applyFill="1" applyBorder="1" applyAlignment="1">
      <alignment horizontal="left" vertical="center"/>
    </xf>
    <xf numFmtId="0" fontId="5" fillId="6" borderId="2" xfId="0" applyFont="1" applyFill="1" applyBorder="1" applyAlignment="1">
      <alignment horizontal="center"/>
    </xf>
    <xf numFmtId="2" fontId="5" fillId="6" borderId="2" xfId="0" applyNumberFormat="1" applyFont="1" applyFill="1" applyBorder="1" applyAlignment="1">
      <alignment horizontal="center"/>
    </xf>
    <xf numFmtId="0" fontId="39" fillId="0" borderId="18" xfId="0" applyFont="1" applyBorder="1" applyAlignment="1">
      <alignment horizontal="left" vertical="center" wrapText="1"/>
    </xf>
    <xf numFmtId="0" fontId="5" fillId="0" borderId="18" xfId="0" applyFont="1" applyBorder="1" applyAlignment="1">
      <alignment horizontal="center"/>
    </xf>
    <xf numFmtId="2" fontId="5" fillId="0" borderId="18" xfId="0" applyNumberFormat="1" applyFont="1" applyBorder="1" applyAlignment="1">
      <alignment horizontal="center"/>
    </xf>
    <xf numFmtId="0" fontId="39" fillId="0" borderId="8" xfId="0" applyFont="1" applyBorder="1" applyAlignment="1">
      <alignment horizontal="left" vertical="center" wrapText="1"/>
    </xf>
    <xf numFmtId="44" fontId="5" fillId="0" borderId="33" xfId="17" applyNumberFormat="1" applyFont="1" applyFill="1" applyBorder="1" applyAlignment="1">
      <alignment horizontal="right"/>
    </xf>
    <xf numFmtId="0" fontId="5" fillId="4" borderId="8" xfId="0" applyFont="1" applyFill="1" applyBorder="1" applyAlignment="1">
      <alignment horizontal="left" vertical="center" wrapText="1"/>
    </xf>
    <xf numFmtId="44" fontId="5" fillId="4" borderId="33" xfId="1" applyNumberFormat="1" applyFont="1" applyFill="1" applyBorder="1" applyAlignment="1">
      <alignment horizontal="right"/>
    </xf>
    <xf numFmtId="0" fontId="37" fillId="6" borderId="2" xfId="0" applyFont="1" applyFill="1" applyBorder="1" applyAlignment="1">
      <alignment horizontal="center"/>
    </xf>
    <xf numFmtId="2" fontId="37" fillId="6" borderId="2" xfId="0" applyNumberFormat="1" applyFont="1" applyFill="1" applyBorder="1" applyAlignment="1">
      <alignment horizontal="center"/>
    </xf>
    <xf numFmtId="0" fontId="37" fillId="4" borderId="0" xfId="0" applyFont="1" applyFill="1" applyBorder="1" applyAlignment="1">
      <alignment horizontal="left" vertical="center"/>
    </xf>
    <xf numFmtId="0" fontId="37" fillId="4" borderId="0" xfId="0" applyFont="1" applyFill="1" applyBorder="1" applyAlignment="1">
      <alignment horizontal="center"/>
    </xf>
    <xf numFmtId="2" fontId="37" fillId="4" borderId="0" xfId="0" applyNumberFormat="1" applyFont="1" applyFill="1" applyBorder="1" applyAlignment="1">
      <alignment horizontal="center"/>
    </xf>
    <xf numFmtId="0" fontId="37" fillId="5" borderId="1" xfId="0" applyFont="1" applyFill="1" applyBorder="1" applyAlignment="1">
      <alignment horizontal="left" vertical="center" wrapText="1"/>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0" fontId="39" fillId="0" borderId="34" xfId="0" applyFont="1" applyBorder="1" applyAlignment="1">
      <alignment horizontal="left" vertical="center" wrapText="1"/>
    </xf>
    <xf numFmtId="0" fontId="37" fillId="5" borderId="2" xfId="0" applyFont="1" applyFill="1" applyBorder="1" applyAlignment="1">
      <alignment horizontal="center"/>
    </xf>
    <xf numFmtId="2" fontId="37" fillId="5" borderId="2" xfId="0" applyNumberFormat="1" applyFont="1" applyFill="1" applyBorder="1" applyAlignment="1">
      <alignment horizontal="center"/>
    </xf>
    <xf numFmtId="0" fontId="37" fillId="7" borderId="1" xfId="0" applyFont="1" applyFill="1" applyBorder="1" applyAlignment="1">
      <alignment horizontal="left" vertical="center"/>
    </xf>
    <xf numFmtId="0" fontId="5" fillId="7" borderId="2" xfId="0" applyFont="1" applyFill="1" applyBorder="1" applyAlignment="1">
      <alignment horizontal="center"/>
    </xf>
    <xf numFmtId="2" fontId="5" fillId="7" borderId="2" xfId="0" applyNumberFormat="1" applyFont="1" applyFill="1" applyBorder="1" applyAlignment="1">
      <alignment horizontal="center"/>
    </xf>
    <xf numFmtId="0" fontId="5" fillId="0" borderId="8" xfId="34" applyFont="1" applyBorder="1" applyAlignment="1">
      <alignment horizontal="left" vertical="center" wrapText="1"/>
    </xf>
    <xf numFmtId="0" fontId="37" fillId="7" borderId="2" xfId="0" applyFont="1" applyFill="1" applyBorder="1" applyAlignment="1">
      <alignment horizontal="center"/>
    </xf>
    <xf numFmtId="2" fontId="37" fillId="7" borderId="2" xfId="0" applyNumberFormat="1" applyFont="1" applyFill="1" applyBorder="1" applyAlignment="1">
      <alignment horizontal="center"/>
    </xf>
    <xf numFmtId="0" fontId="5" fillId="0" borderId="0" xfId="0" applyFont="1" applyAlignment="1">
      <alignment vertical="top"/>
    </xf>
    <xf numFmtId="0" fontId="5" fillId="0" borderId="0" xfId="0" applyFont="1" applyAlignment="1">
      <alignment horizontal="center"/>
    </xf>
    <xf numFmtId="2" fontId="5" fillId="0" borderId="0" xfId="0" applyNumberFormat="1" applyFont="1" applyAlignment="1">
      <alignment horizontal="center"/>
    </xf>
    <xf numFmtId="44" fontId="37" fillId="2" borderId="30" xfId="0" applyNumberFormat="1" applyFont="1" applyFill="1" applyBorder="1" applyAlignment="1">
      <alignment horizontal="right" vertical="center"/>
    </xf>
    <xf numFmtId="44" fontId="5" fillId="8" borderId="2" xfId="0" applyNumberFormat="1" applyFont="1" applyFill="1" applyBorder="1" applyAlignment="1">
      <alignment horizontal="right"/>
    </xf>
    <xf numFmtId="44" fontId="5" fillId="8" borderId="7" xfId="0" applyNumberFormat="1" applyFont="1" applyFill="1" applyBorder="1" applyAlignment="1">
      <alignment horizontal="right"/>
    </xf>
    <xf numFmtId="44" fontId="5" fillId="0" borderId="34" xfId="1" applyNumberFormat="1" applyFont="1" applyBorder="1" applyAlignment="1">
      <alignment horizontal="right"/>
    </xf>
    <xf numFmtId="44" fontId="37" fillId="3" borderId="29" xfId="1" applyNumberFormat="1" applyFont="1" applyFill="1" applyBorder="1" applyAlignment="1">
      <alignment horizontal="right"/>
    </xf>
    <xf numFmtId="44" fontId="37" fillId="4" borderId="35" xfId="1" applyNumberFormat="1" applyFont="1" applyFill="1" applyBorder="1" applyAlignment="1">
      <alignment horizontal="right"/>
    </xf>
    <xf numFmtId="44" fontId="37" fillId="4" borderId="35" xfId="0" applyNumberFormat="1" applyFont="1" applyFill="1" applyBorder="1" applyAlignment="1">
      <alignment horizontal="right"/>
    </xf>
    <xf numFmtId="44" fontId="5" fillId="6" borderId="2" xfId="1" applyNumberFormat="1" applyFont="1" applyFill="1" applyBorder="1" applyAlignment="1">
      <alignment horizontal="right"/>
    </xf>
    <xf numFmtId="44" fontId="5" fillId="6" borderId="7" xfId="1" applyNumberFormat="1" applyFont="1" applyFill="1" applyBorder="1" applyAlignment="1">
      <alignment horizontal="right"/>
    </xf>
    <xf numFmtId="44" fontId="5" fillId="0" borderId="18" xfId="1" applyNumberFormat="1" applyFont="1" applyBorder="1" applyAlignment="1">
      <alignment horizontal="right"/>
    </xf>
    <xf numFmtId="44" fontId="5" fillId="0" borderId="41" xfId="1" applyNumberFormat="1" applyFont="1" applyBorder="1" applyAlignment="1">
      <alignment horizontal="right"/>
    </xf>
    <xf numFmtId="44" fontId="37" fillId="6" borderId="2" xfId="1" applyNumberFormat="1" applyFont="1" applyFill="1" applyBorder="1" applyAlignment="1">
      <alignment horizontal="right"/>
    </xf>
    <xf numFmtId="44" fontId="37" fillId="4" borderId="0" xfId="1" applyNumberFormat="1" applyFont="1" applyFill="1" applyBorder="1" applyAlignment="1">
      <alignment horizontal="right"/>
    </xf>
    <xf numFmtId="44" fontId="5" fillId="5" borderId="2" xfId="0" applyNumberFormat="1" applyFont="1" applyFill="1" applyBorder="1" applyAlignment="1">
      <alignment horizontal="right"/>
    </xf>
    <xf numFmtId="44" fontId="37" fillId="5" borderId="7" xfId="0" applyNumberFormat="1" applyFont="1" applyFill="1" applyBorder="1" applyAlignment="1">
      <alignment horizontal="right"/>
    </xf>
    <xf numFmtId="44" fontId="37" fillId="5" borderId="2" xfId="1" applyNumberFormat="1" applyFont="1" applyFill="1" applyBorder="1" applyAlignment="1">
      <alignment horizontal="right"/>
    </xf>
    <xf numFmtId="44" fontId="5" fillId="7" borderId="2" xfId="1" applyNumberFormat="1" applyFont="1" applyFill="1" applyBorder="1" applyAlignment="1">
      <alignment horizontal="right"/>
    </xf>
    <xf numFmtId="44" fontId="5" fillId="7" borderId="7" xfId="1" applyNumberFormat="1" applyFont="1" applyFill="1" applyBorder="1" applyAlignment="1">
      <alignment horizontal="right"/>
    </xf>
    <xf numFmtId="44" fontId="37" fillId="7" borderId="2" xfId="1" applyNumberFormat="1" applyFont="1" applyFill="1" applyBorder="1" applyAlignment="1">
      <alignment horizontal="right"/>
    </xf>
    <xf numFmtId="44" fontId="5" fillId="0" borderId="0" xfId="0" applyNumberFormat="1" applyFont="1" applyAlignment="1">
      <alignment horizontal="right"/>
    </xf>
    <xf numFmtId="2" fontId="5" fillId="0" borderId="8" xfId="0" applyNumberFormat="1" applyFont="1" applyBorder="1" applyAlignment="1" applyProtection="1">
      <alignment horizontal="center"/>
    </xf>
    <xf numFmtId="2" fontId="5" fillId="0" borderId="8" xfId="34" applyNumberFormat="1" applyFont="1" applyBorder="1" applyAlignment="1">
      <alignment horizontal="center"/>
    </xf>
    <xf numFmtId="49" fontId="37" fillId="2" borderId="28" xfId="0" applyNumberFormat="1" applyFont="1" applyFill="1" applyBorder="1" applyAlignment="1">
      <alignment horizontal="center" vertical="center" wrapText="1"/>
    </xf>
    <xf numFmtId="49" fontId="5" fillId="0" borderId="36"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0" borderId="32" xfId="0" applyNumberFormat="1" applyFont="1" applyBorder="1" applyAlignment="1">
      <alignment horizontal="center" vertical="top"/>
    </xf>
    <xf numFmtId="49" fontId="37" fillId="4" borderId="35"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40" xfId="0" applyNumberFormat="1" applyFont="1" applyBorder="1" applyAlignment="1">
      <alignment horizontal="center" vertical="top"/>
    </xf>
    <xf numFmtId="49" fontId="5" fillId="0" borderId="32" xfId="24" applyNumberFormat="1" applyFont="1" applyBorder="1" applyAlignment="1">
      <alignment horizontal="center" vertical="top"/>
    </xf>
    <xf numFmtId="49" fontId="5" fillId="0" borderId="32" xfId="0" applyNumberFormat="1" applyFont="1" applyFill="1" applyBorder="1" applyAlignment="1">
      <alignment horizontal="center" vertical="top"/>
    </xf>
    <xf numFmtId="49" fontId="5" fillId="0" borderId="42" xfId="0" applyNumberFormat="1" applyFont="1" applyBorder="1" applyAlignment="1">
      <alignment horizontal="center" vertical="top"/>
    </xf>
    <xf numFmtId="49" fontId="5" fillId="0" borderId="0" xfId="0" applyNumberFormat="1" applyFont="1" applyAlignment="1">
      <alignment horizontal="center" vertical="top"/>
    </xf>
    <xf numFmtId="44" fontId="6" fillId="31" borderId="7" xfId="0" applyNumberFormat="1" applyFont="1" applyFill="1" applyBorder="1"/>
    <xf numFmtId="0" fontId="36" fillId="0" borderId="4" xfId="0" applyFont="1" applyBorder="1" applyAlignment="1">
      <alignment horizontal="center" vertical="top"/>
    </xf>
    <xf numFmtId="0" fontId="7" fillId="0" borderId="5" xfId="0" applyFont="1" applyBorder="1"/>
    <xf numFmtId="0" fontId="36" fillId="0" borderId="5" xfId="0" applyFont="1" applyBorder="1" applyAlignment="1">
      <alignment horizontal="center"/>
    </xf>
    <xf numFmtId="2" fontId="36" fillId="0" borderId="5" xfId="0" applyNumberFormat="1" applyFont="1" applyBorder="1" applyAlignment="1">
      <alignment horizontal="center"/>
    </xf>
    <xf numFmtId="0" fontId="36" fillId="0" borderId="5" xfId="0" applyFont="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41" fillId="0" borderId="3" xfId="0" applyFont="1" applyBorder="1" applyAlignment="1">
      <alignment horizontal="center" vertical="top"/>
    </xf>
    <xf numFmtId="0" fontId="6" fillId="0" borderId="3" xfId="0" applyFont="1" applyBorder="1"/>
    <xf numFmtId="0" fontId="41" fillId="0" borderId="3" xfId="0" applyFont="1" applyBorder="1" applyAlignment="1">
      <alignment horizontal="center"/>
    </xf>
    <xf numFmtId="2" fontId="41" fillId="0" borderId="3" xfId="0" applyNumberFormat="1" applyFont="1" applyBorder="1" applyAlignment="1">
      <alignment horizontal="center"/>
    </xf>
    <xf numFmtId="0" fontId="41" fillId="0" borderId="3" xfId="0" applyFont="1" applyBorder="1"/>
    <xf numFmtId="0" fontId="6" fillId="31" borderId="1" xfId="0" applyFont="1" applyFill="1" applyBorder="1" applyAlignment="1">
      <alignment horizontal="center"/>
    </xf>
    <xf numFmtId="0" fontId="6" fillId="31" borderId="2" xfId="0" applyFont="1" applyFill="1" applyBorder="1"/>
    <xf numFmtId="0" fontId="41" fillId="31" borderId="2" xfId="0" applyFont="1" applyFill="1" applyBorder="1" applyAlignment="1">
      <alignment horizontal="center"/>
    </xf>
    <xf numFmtId="2" fontId="41" fillId="31" borderId="2" xfId="0" applyNumberFormat="1" applyFont="1" applyFill="1" applyBorder="1" applyAlignment="1">
      <alignment horizontal="center"/>
    </xf>
    <xf numFmtId="0" fontId="41" fillId="31" borderId="2" xfId="0" applyFont="1" applyFill="1" applyBorder="1"/>
    <xf numFmtId="0" fontId="41" fillId="31" borderId="13" xfId="0" applyFont="1" applyFill="1" applyBorder="1" applyAlignment="1">
      <alignment horizontal="center"/>
    </xf>
    <xf numFmtId="2" fontId="41" fillId="31" borderId="13" xfId="0" applyNumberFormat="1" applyFont="1" applyFill="1" applyBorder="1" applyAlignment="1">
      <alignment horizontal="center"/>
    </xf>
    <xf numFmtId="0" fontId="41" fillId="31" borderId="13" xfId="0" applyFont="1" applyFill="1" applyBorder="1"/>
    <xf numFmtId="44" fontId="41" fillId="0" borderId="0" xfId="0" applyNumberFormat="1" applyFont="1"/>
    <xf numFmtId="49" fontId="37" fillId="3" borderId="28" xfId="0" applyNumberFormat="1" applyFont="1" applyFill="1" applyBorder="1" applyAlignment="1">
      <alignment horizontal="center" vertical="center"/>
    </xf>
    <xf numFmtId="44" fontId="37" fillId="3" borderId="30" xfId="0" applyNumberFormat="1" applyFont="1" applyFill="1" applyBorder="1" applyAlignment="1">
      <alignment horizontal="right" vertical="center"/>
    </xf>
    <xf numFmtId="0" fontId="4" fillId="0" borderId="8" xfId="24" applyBorder="1" applyAlignment="1">
      <alignment vertical="center" wrapText="1" shrinkToFit="1"/>
    </xf>
    <xf numFmtId="49" fontId="37" fillId="7" borderId="1" xfId="0" applyNumberFormat="1" applyFont="1" applyFill="1" applyBorder="1" applyAlignment="1">
      <alignment horizontal="center" vertical="center"/>
    </xf>
    <xf numFmtId="0" fontId="37" fillId="7" borderId="43" xfId="0" applyFont="1" applyFill="1" applyBorder="1" applyAlignment="1">
      <alignment horizontal="left" vertical="center"/>
    </xf>
    <xf numFmtId="44" fontId="37" fillId="7" borderId="7" xfId="1" applyNumberFormat="1" applyFont="1" applyFill="1" applyBorder="1" applyAlignment="1">
      <alignment horizontal="right" vertical="center"/>
    </xf>
    <xf numFmtId="49" fontId="37" fillId="5" borderId="1" xfId="0" applyNumberFormat="1" applyFont="1" applyFill="1" applyBorder="1" applyAlignment="1">
      <alignment horizontal="center" vertical="center"/>
    </xf>
    <xf numFmtId="44" fontId="37" fillId="5" borderId="7" xfId="1" applyNumberFormat="1" applyFont="1" applyFill="1" applyBorder="1" applyAlignment="1">
      <alignment horizontal="right" vertical="center"/>
    </xf>
    <xf numFmtId="0" fontId="37" fillId="5" borderId="43" xfId="0" applyFont="1" applyFill="1" applyBorder="1" applyAlignment="1">
      <alignment horizontal="left" vertical="center"/>
    </xf>
    <xf numFmtId="49" fontId="37" fillId="6" borderId="1" xfId="0" applyNumberFormat="1" applyFont="1" applyFill="1" applyBorder="1" applyAlignment="1">
      <alignment horizontal="center" vertical="center"/>
    </xf>
    <xf numFmtId="0" fontId="37" fillId="6" borderId="43" xfId="0" applyFont="1" applyFill="1" applyBorder="1" applyAlignment="1">
      <alignment horizontal="left" vertical="center"/>
    </xf>
    <xf numFmtId="44" fontId="37" fillId="6" borderId="7" xfId="1" applyNumberFormat="1" applyFont="1" applyFill="1" applyBorder="1" applyAlignment="1">
      <alignment horizontal="right" vertical="center"/>
    </xf>
    <xf numFmtId="49" fontId="5" fillId="0" borderId="44" xfId="0" applyNumberFormat="1" applyFont="1" applyBorder="1" applyAlignment="1">
      <alignment horizontal="center" vertical="top"/>
    </xf>
    <xf numFmtId="0" fontId="5" fillId="0" borderId="18" xfId="0" applyFont="1" applyBorder="1" applyAlignment="1" applyProtection="1">
      <alignment horizontal="left" vertical="center"/>
    </xf>
    <xf numFmtId="0" fontId="5" fillId="0" borderId="18" xfId="0" applyFont="1" applyBorder="1" applyAlignment="1" applyProtection="1">
      <alignment horizontal="center"/>
    </xf>
    <xf numFmtId="2" fontId="5" fillId="0" borderId="18" xfId="0" applyNumberFormat="1" applyFont="1" applyBorder="1" applyAlignment="1" applyProtection="1">
      <alignment horizontal="center"/>
    </xf>
    <xf numFmtId="0" fontId="5" fillId="0" borderId="47" xfId="0" applyFont="1" applyBorder="1" applyAlignment="1" applyProtection="1">
      <alignment horizontal="left" vertical="center"/>
    </xf>
    <xf numFmtId="0" fontId="5" fillId="0" borderId="47" xfId="0" applyFont="1" applyBorder="1" applyAlignment="1" applyProtection="1">
      <alignment horizontal="center"/>
    </xf>
    <xf numFmtId="2" fontId="5" fillId="0" borderId="47" xfId="0" applyNumberFormat="1" applyFont="1" applyBorder="1" applyAlignment="1" applyProtection="1">
      <alignment horizontal="center"/>
    </xf>
    <xf numFmtId="49" fontId="5" fillId="0" borderId="44" xfId="24" applyNumberFormat="1" applyFont="1" applyBorder="1" applyAlignment="1">
      <alignment horizontal="center" vertical="top"/>
    </xf>
    <xf numFmtId="0" fontId="5" fillId="0" borderId="45" xfId="0" applyFont="1" applyBorder="1" applyAlignment="1" applyProtection="1">
      <alignment horizontal="left" vertical="center" wrapText="1"/>
    </xf>
    <xf numFmtId="0" fontId="5" fillId="0" borderId="45" xfId="0" applyFont="1" applyBorder="1" applyAlignment="1" applyProtection="1">
      <alignment horizontal="center"/>
    </xf>
    <xf numFmtId="2" fontId="5" fillId="0" borderId="45" xfId="0" applyNumberFormat="1" applyFont="1" applyBorder="1" applyAlignment="1" applyProtection="1">
      <alignment horizontal="center"/>
    </xf>
    <xf numFmtId="44" fontId="5" fillId="0" borderId="45" xfId="0" applyNumberFormat="1" applyFont="1" applyBorder="1" applyAlignment="1" applyProtection="1">
      <alignment horizontal="right"/>
    </xf>
    <xf numFmtId="44" fontId="5" fillId="4" borderId="46" xfId="1" applyNumberFormat="1" applyFont="1" applyFill="1" applyBorder="1" applyAlignment="1">
      <alignment horizontal="right"/>
    </xf>
    <xf numFmtId="49" fontId="5" fillId="0" borderId="37" xfId="24" applyNumberFormat="1" applyFont="1" applyBorder="1" applyAlignment="1">
      <alignment horizontal="center" vertical="top"/>
    </xf>
    <xf numFmtId="44" fontId="5" fillId="4" borderId="41" xfId="1" applyNumberFormat="1" applyFont="1" applyFill="1" applyBorder="1" applyAlignment="1">
      <alignment horizontal="right"/>
    </xf>
    <xf numFmtId="49" fontId="5" fillId="0" borderId="47" xfId="24" applyNumberFormat="1" applyFont="1" applyBorder="1" applyAlignment="1">
      <alignment horizontal="center" vertical="top"/>
    </xf>
    <xf numFmtId="44" fontId="5" fillId="4" borderId="47" xfId="1" applyNumberFormat="1" applyFont="1" applyFill="1" applyBorder="1" applyAlignment="1">
      <alignment horizontal="right"/>
    </xf>
    <xf numFmtId="0" fontId="4" fillId="0" borderId="8" xfId="0" applyFont="1" applyBorder="1" applyAlignment="1">
      <alignment vertical="center" wrapText="1"/>
    </xf>
    <xf numFmtId="0" fontId="0" fillId="0" borderId="8" xfId="0" applyBorder="1" applyAlignment="1">
      <alignment horizontal="center"/>
    </xf>
    <xf numFmtId="2" fontId="0" fillId="0" borderId="8" xfId="0" applyNumberFormat="1" applyBorder="1" applyAlignment="1">
      <alignment horizontal="center"/>
    </xf>
    <xf numFmtId="44" fontId="0" fillId="0" borderId="8" xfId="221" applyNumberFormat="1" applyFont="1" applyBorder="1"/>
    <xf numFmtId="0" fontId="4" fillId="0" borderId="8" xfId="0" applyFont="1" applyBorder="1" applyAlignment="1">
      <alignment vertical="center" wrapText="1" shrinkToFit="1"/>
    </xf>
    <xf numFmtId="0" fontId="5" fillId="4" borderId="8" xfId="0" applyFont="1" applyFill="1" applyBorder="1" applyAlignment="1">
      <alignment vertical="center" wrapText="1"/>
    </xf>
    <xf numFmtId="0" fontId="4" fillId="4" borderId="8" xfId="0" applyFont="1" applyFill="1" applyBorder="1" applyAlignment="1">
      <alignment vertical="center" wrapText="1"/>
    </xf>
    <xf numFmtId="2" fontId="0" fillId="0" borderId="6" xfId="0" applyNumberFormat="1" applyBorder="1" applyAlignment="1">
      <alignment horizontal="center"/>
    </xf>
    <xf numFmtId="44" fontId="4" fillId="4" borderId="18" xfId="1" applyNumberFormat="1" applyFont="1" applyFill="1" applyBorder="1" applyAlignment="1">
      <alignment horizontal="right"/>
    </xf>
    <xf numFmtId="0" fontId="5" fillId="0" borderId="45" xfId="0" applyFont="1" applyBorder="1" applyAlignment="1">
      <alignment vertical="center" wrapText="1"/>
    </xf>
    <xf numFmtId="0" fontId="5" fillId="0" borderId="45" xfId="0" applyFont="1" applyFill="1" applyBorder="1" applyAlignment="1">
      <alignment horizontal="center"/>
    </xf>
    <xf numFmtId="2" fontId="5" fillId="0" borderId="45" xfId="0" applyNumberFormat="1" applyFont="1" applyFill="1" applyBorder="1" applyAlignment="1">
      <alignment horizontal="center"/>
    </xf>
    <xf numFmtId="44" fontId="5" fillId="0" borderId="45" xfId="1" applyNumberFormat="1" applyFont="1" applyFill="1" applyBorder="1" applyAlignment="1">
      <alignment horizontal="right"/>
    </xf>
    <xf numFmtId="44" fontId="5" fillId="0" borderId="46" xfId="17" applyNumberFormat="1" applyFont="1" applyFill="1" applyBorder="1" applyAlignment="1">
      <alignment horizontal="right"/>
    </xf>
    <xf numFmtId="0" fontId="5" fillId="0" borderId="18" xfId="0" applyFont="1" applyFill="1" applyBorder="1" applyAlignment="1">
      <alignment horizontal="left" vertical="center" wrapText="1"/>
    </xf>
    <xf numFmtId="0" fontId="5" fillId="0" borderId="18" xfId="0" applyFont="1" applyFill="1" applyBorder="1" applyAlignment="1">
      <alignment horizontal="center"/>
    </xf>
    <xf numFmtId="2" fontId="5" fillId="0" borderId="18" xfId="0" applyNumberFormat="1" applyFont="1" applyFill="1" applyBorder="1" applyAlignment="1">
      <alignment horizontal="center"/>
    </xf>
    <xf numFmtId="44" fontId="5" fillId="0" borderId="41" xfId="17" applyNumberFormat="1" applyFont="1" applyFill="1" applyBorder="1" applyAlignment="1">
      <alignment horizontal="right"/>
    </xf>
    <xf numFmtId="49" fontId="5" fillId="0" borderId="48" xfId="0" applyNumberFormat="1" applyFont="1" applyFill="1" applyBorder="1" applyAlignment="1">
      <alignment horizontal="center" vertical="top"/>
    </xf>
    <xf numFmtId="0" fontId="5" fillId="0" borderId="47" xfId="0" applyFont="1" applyFill="1" applyBorder="1" applyAlignment="1">
      <alignment horizontal="left" vertical="center" wrapText="1"/>
    </xf>
    <xf numFmtId="0" fontId="5" fillId="0" borderId="47" xfId="0" applyFont="1" applyFill="1" applyBorder="1" applyAlignment="1">
      <alignment horizontal="center"/>
    </xf>
    <xf numFmtId="2" fontId="5" fillId="0" borderId="47" xfId="0" applyNumberFormat="1" applyFont="1" applyFill="1" applyBorder="1" applyAlignment="1">
      <alignment horizontal="center"/>
    </xf>
    <xf numFmtId="44" fontId="5" fillId="0" borderId="49" xfId="17" applyNumberFormat="1" applyFont="1" applyFill="1" applyBorder="1" applyAlignment="1">
      <alignment horizontal="right"/>
    </xf>
    <xf numFmtId="0" fontId="36" fillId="0" borderId="0" xfId="0" applyFont="1" applyAlignment="1">
      <alignment vertical="top"/>
    </xf>
    <xf numFmtId="44" fontId="37" fillId="2" borderId="29" xfId="1" applyNumberFormat="1" applyFont="1" applyFill="1" applyBorder="1" applyAlignment="1">
      <alignment horizontal="center" vertical="center" wrapText="1"/>
    </xf>
    <xf numFmtId="0" fontId="37" fillId="33" borderId="1" xfId="0" applyFont="1" applyFill="1" applyBorder="1" applyAlignment="1">
      <alignment horizontal="left" vertical="center"/>
    </xf>
    <xf numFmtId="0" fontId="5" fillId="33" borderId="2" xfId="0" applyFont="1" applyFill="1" applyBorder="1" applyAlignment="1">
      <alignment horizontal="center"/>
    </xf>
    <xf numFmtId="2" fontId="5" fillId="33" borderId="2" xfId="0" applyNumberFormat="1" applyFont="1" applyFill="1" applyBorder="1" applyAlignment="1">
      <alignment horizontal="center"/>
    </xf>
    <xf numFmtId="44" fontId="5" fillId="33" borderId="2" xfId="0" applyNumberFormat="1" applyFont="1" applyFill="1" applyBorder="1" applyAlignment="1">
      <alignment horizontal="right"/>
    </xf>
    <xf numFmtId="44" fontId="5" fillId="33" borderId="7" xfId="0" applyNumberFormat="1" applyFont="1" applyFill="1" applyBorder="1" applyAlignment="1">
      <alignment horizontal="right"/>
    </xf>
    <xf numFmtId="0" fontId="37" fillId="33" borderId="1" xfId="0" applyFont="1" applyFill="1" applyBorder="1" applyAlignment="1">
      <alignment horizontal="center" vertical="center"/>
    </xf>
    <xf numFmtId="0" fontId="37" fillId="34" borderId="1" xfId="0" applyFont="1" applyFill="1" applyBorder="1" applyAlignment="1">
      <alignment horizontal="left" vertical="center"/>
    </xf>
    <xf numFmtId="0" fontId="5" fillId="34" borderId="2" xfId="0" applyFont="1" applyFill="1" applyBorder="1" applyAlignment="1">
      <alignment horizontal="center"/>
    </xf>
    <xf numFmtId="2" fontId="5" fillId="34" borderId="2" xfId="0" applyNumberFormat="1" applyFont="1" applyFill="1" applyBorder="1" applyAlignment="1">
      <alignment horizontal="center"/>
    </xf>
    <xf numFmtId="44" fontId="5" fillId="34" borderId="2" xfId="1" applyNumberFormat="1" applyFont="1" applyFill="1" applyBorder="1" applyAlignment="1">
      <alignment horizontal="right"/>
    </xf>
    <xf numFmtId="44" fontId="5" fillId="34" borderId="7" xfId="1" applyNumberFormat="1" applyFont="1" applyFill="1" applyBorder="1" applyAlignment="1">
      <alignment horizontal="right"/>
    </xf>
    <xf numFmtId="49" fontId="37" fillId="34" borderId="1" xfId="0" applyNumberFormat="1" applyFont="1" applyFill="1" applyBorder="1" applyAlignment="1">
      <alignment horizontal="center" vertical="center"/>
    </xf>
    <xf numFmtId="0" fontId="37" fillId="34" borderId="43" xfId="0" applyFont="1" applyFill="1" applyBorder="1" applyAlignment="1">
      <alignment horizontal="left" vertical="center"/>
    </xf>
    <xf numFmtId="0" fontId="37" fillId="34" borderId="2" xfId="0" applyFont="1" applyFill="1" applyBorder="1" applyAlignment="1">
      <alignment horizontal="center"/>
    </xf>
    <xf numFmtId="2" fontId="37" fillId="34" borderId="2" xfId="0" applyNumberFormat="1" applyFont="1" applyFill="1" applyBorder="1" applyAlignment="1">
      <alignment horizontal="center"/>
    </xf>
    <xf numFmtId="44" fontId="37" fillId="34" borderId="2" xfId="1" applyNumberFormat="1" applyFont="1" applyFill="1" applyBorder="1" applyAlignment="1">
      <alignment horizontal="right"/>
    </xf>
    <xf numFmtId="44" fontId="37" fillId="34" borderId="7" xfId="1" applyNumberFormat="1" applyFont="1" applyFill="1" applyBorder="1" applyAlignment="1">
      <alignment horizontal="right" vertical="center"/>
    </xf>
    <xf numFmtId="49" fontId="37" fillId="35" borderId="1" xfId="0" applyNumberFormat="1" applyFont="1" applyFill="1" applyBorder="1" applyAlignment="1">
      <alignment horizontal="center" vertical="center"/>
    </xf>
    <xf numFmtId="0" fontId="37" fillId="35" borderId="43" xfId="0" applyFont="1" applyFill="1" applyBorder="1" applyAlignment="1">
      <alignment horizontal="left" vertical="center"/>
    </xf>
    <xf numFmtId="0" fontId="37" fillId="35" borderId="2" xfId="0" applyFont="1" applyFill="1" applyBorder="1" applyAlignment="1">
      <alignment horizontal="center"/>
    </xf>
    <xf numFmtId="2" fontId="37" fillId="35" borderId="2" xfId="0" applyNumberFormat="1" applyFont="1" applyFill="1" applyBorder="1" applyAlignment="1">
      <alignment horizontal="center"/>
    </xf>
    <xf numFmtId="44" fontId="37" fillId="35" borderId="2" xfId="1" applyNumberFormat="1" applyFont="1" applyFill="1" applyBorder="1" applyAlignment="1">
      <alignment horizontal="right"/>
    </xf>
    <xf numFmtId="44" fontId="37" fillId="35" borderId="7" xfId="1" applyNumberFormat="1" applyFont="1" applyFill="1" applyBorder="1" applyAlignment="1">
      <alignment horizontal="right" vertical="center"/>
    </xf>
    <xf numFmtId="0" fontId="5" fillId="0" borderId="8" xfId="24" applyFont="1" applyBorder="1" applyAlignment="1">
      <alignment horizontal="left" vertical="top" wrapText="1"/>
    </xf>
    <xf numFmtId="0" fontId="5" fillId="0" borderId="8" xfId="0" applyFont="1" applyBorder="1" applyAlignment="1">
      <alignment horizontal="left" vertical="top" wrapText="1"/>
    </xf>
    <xf numFmtId="0" fontId="5" fillId="0" borderId="37" xfId="0" applyNumberFormat="1" applyFont="1" applyBorder="1" applyAlignment="1">
      <alignment horizontal="center" vertical="top"/>
    </xf>
    <xf numFmtId="0" fontId="5" fillId="4" borderId="8" xfId="0" applyFont="1" applyFill="1" applyBorder="1" applyAlignment="1">
      <alignment horizontal="left" vertical="top" wrapText="1"/>
    </xf>
    <xf numFmtId="0" fontId="44" fillId="0" borderId="0" xfId="0" applyFont="1" applyAlignment="1">
      <alignment vertical="top"/>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applyAlignment="1">
      <alignment horizontal="right"/>
    </xf>
    <xf numFmtId="0" fontId="43" fillId="0" borderId="0" xfId="0" applyFont="1"/>
    <xf numFmtId="0" fontId="5" fillId="4" borderId="18" xfId="0" applyFont="1" applyFill="1" applyBorder="1" applyAlignment="1">
      <alignment horizontal="left" vertical="center" wrapText="1"/>
    </xf>
    <xf numFmtId="0" fontId="36" fillId="0" borderId="0" xfId="0" applyFont="1" applyBorder="1"/>
    <xf numFmtId="0" fontId="5" fillId="4" borderId="8" xfId="0" applyFont="1" applyFill="1" applyBorder="1" applyAlignment="1">
      <alignment vertical="top" wrapText="1"/>
    </xf>
    <xf numFmtId="0" fontId="36" fillId="0" borderId="13" xfId="0" applyFont="1" applyBorder="1" applyAlignment="1">
      <alignment horizontal="center" vertical="top"/>
    </xf>
    <xf numFmtId="0" fontId="7" fillId="0" borderId="13" xfId="0" applyFont="1" applyBorder="1"/>
    <xf numFmtId="0" fontId="36" fillId="0" borderId="13" xfId="0" applyFont="1" applyBorder="1" applyAlignment="1">
      <alignment horizontal="center"/>
    </xf>
    <xf numFmtId="2" fontId="36" fillId="0" borderId="13" xfId="0" applyNumberFormat="1" applyFont="1" applyBorder="1" applyAlignment="1">
      <alignment horizontal="center"/>
    </xf>
    <xf numFmtId="0" fontId="36" fillId="0" borderId="13" xfId="0" applyFont="1" applyBorder="1"/>
    <xf numFmtId="44" fontId="7" fillId="0" borderId="13" xfId="0" applyNumberFormat="1" applyFont="1" applyBorder="1"/>
    <xf numFmtId="0" fontId="45" fillId="0" borderId="0" xfId="0" applyFont="1"/>
    <xf numFmtId="0" fontId="5" fillId="0" borderId="8" xfId="34" applyFont="1" applyBorder="1" applyAlignment="1">
      <alignment horizontal="left" vertical="top" wrapText="1"/>
    </xf>
    <xf numFmtId="0" fontId="4" fillId="0" borderId="8" xfId="0" applyFont="1" applyBorder="1" applyAlignment="1">
      <alignment vertical="top" wrapText="1"/>
    </xf>
    <xf numFmtId="49" fontId="5" fillId="0" borderId="51" xfId="24" applyNumberFormat="1" applyFont="1" applyBorder="1" applyAlignment="1">
      <alignment horizontal="center" vertical="top"/>
    </xf>
    <xf numFmtId="0" fontId="5" fillId="0" borderId="50" xfId="0" applyFont="1" applyBorder="1" applyAlignment="1" applyProtection="1">
      <alignment horizontal="left" vertical="center"/>
    </xf>
    <xf numFmtId="0" fontId="5" fillId="0" borderId="50" xfId="0" applyFont="1" applyBorder="1" applyAlignment="1" applyProtection="1">
      <alignment horizontal="center"/>
    </xf>
    <xf numFmtId="2" fontId="5" fillId="0" borderId="50" xfId="0" applyNumberFormat="1" applyFont="1" applyBorder="1" applyAlignment="1" applyProtection="1">
      <alignment horizontal="center"/>
    </xf>
    <xf numFmtId="44" fontId="5" fillId="0" borderId="50" xfId="0" applyNumberFormat="1" applyFont="1" applyBorder="1" applyAlignment="1" applyProtection="1">
      <alignment horizontal="right"/>
    </xf>
    <xf numFmtId="49" fontId="44" fillId="0" borderId="0" xfId="0" applyNumberFormat="1" applyFont="1" applyAlignment="1">
      <alignment horizontal="center" vertical="top"/>
    </xf>
    <xf numFmtId="0" fontId="5" fillId="0" borderId="45" xfId="0" applyFont="1" applyBorder="1" applyAlignment="1" applyProtection="1">
      <alignment horizontal="left" vertical="top" wrapText="1"/>
    </xf>
    <xf numFmtId="0" fontId="5" fillId="0" borderId="8" xfId="0" applyFont="1" applyBorder="1" applyAlignment="1">
      <alignment vertical="top" wrapText="1"/>
    </xf>
    <xf numFmtId="44" fontId="5" fillId="0" borderId="33" xfId="1" applyNumberFormat="1" applyFont="1" applyFill="1" applyBorder="1" applyAlignment="1">
      <alignment horizontal="right"/>
    </xf>
    <xf numFmtId="0" fontId="5" fillId="0" borderId="8" xfId="0" applyFont="1" applyBorder="1" applyAlignment="1">
      <alignment vertical="center" wrapText="1"/>
    </xf>
    <xf numFmtId="0" fontId="5" fillId="0" borderId="8" xfId="0" applyFont="1" applyBorder="1" applyAlignment="1">
      <alignment horizontal="left" vertical="top" wrapText="1" shrinkToFit="1"/>
    </xf>
    <xf numFmtId="0" fontId="5" fillId="0" borderId="37" xfId="0" applyFont="1" applyBorder="1" applyAlignment="1">
      <alignment horizontal="center" vertical="top"/>
    </xf>
    <xf numFmtId="2" fontId="5" fillId="0" borderId="8" xfId="0" applyNumberFormat="1" applyFont="1" applyFill="1" applyBorder="1" applyAlignment="1">
      <alignment horizontal="center"/>
    </xf>
    <xf numFmtId="0" fontId="5" fillId="0" borderId="50" xfId="0" applyFont="1" applyFill="1" applyBorder="1" applyAlignment="1">
      <alignment horizontal="left" vertical="top" wrapText="1"/>
    </xf>
    <xf numFmtId="0" fontId="5" fillId="0" borderId="45" xfId="0" applyFont="1" applyBorder="1" applyAlignment="1">
      <alignment horizontal="center"/>
    </xf>
    <xf numFmtId="2" fontId="5" fillId="0" borderId="45" xfId="0" applyNumberFormat="1" applyFont="1" applyBorder="1" applyAlignment="1">
      <alignment horizontal="center"/>
    </xf>
    <xf numFmtId="49" fontId="5" fillId="0" borderId="48" xfId="0" applyNumberFormat="1" applyFont="1" applyBorder="1" applyAlignment="1">
      <alignment horizontal="center" vertical="top"/>
    </xf>
    <xf numFmtId="0" fontId="5" fillId="0" borderId="47" xfId="0" applyFont="1" applyBorder="1" applyAlignment="1">
      <alignment horizontal="left" vertical="center" wrapText="1"/>
    </xf>
    <xf numFmtId="0" fontId="5" fillId="0" borderId="47" xfId="0" applyFont="1" applyBorder="1" applyAlignment="1">
      <alignment horizontal="center"/>
    </xf>
    <xf numFmtId="2" fontId="5" fillId="0" borderId="47" xfId="0" applyNumberFormat="1" applyFont="1" applyBorder="1" applyAlignment="1">
      <alignment horizontal="center"/>
    </xf>
    <xf numFmtId="0" fontId="37" fillId="4" borderId="0" xfId="0" applyFont="1" applyFill="1" applyAlignment="1">
      <alignment horizontal="left" vertical="center"/>
    </xf>
    <xf numFmtId="0" fontId="37" fillId="4" borderId="0" xfId="0" applyFont="1" applyFill="1" applyAlignment="1">
      <alignment horizontal="center"/>
    </xf>
    <xf numFmtId="2" fontId="37" fillId="4" borderId="0" xfId="0" applyNumberFormat="1" applyFont="1" applyFill="1" applyAlignment="1">
      <alignment horizontal="center"/>
    </xf>
    <xf numFmtId="44" fontId="5" fillId="0" borderId="8" xfId="0" applyNumberFormat="1" applyFont="1" applyBorder="1" applyAlignment="1">
      <alignment horizontal="right"/>
    </xf>
    <xf numFmtId="0" fontId="5" fillId="0" borderId="18" xfId="0" applyFont="1" applyBorder="1" applyAlignment="1">
      <alignment horizontal="left" vertical="center"/>
    </xf>
    <xf numFmtId="0" fontId="5" fillId="0" borderId="18" xfId="0" applyFont="1" applyBorder="1" applyAlignment="1">
      <alignment horizontal="left" vertical="center" wrapText="1"/>
    </xf>
    <xf numFmtId="0" fontId="5" fillId="0" borderId="18" xfId="0" applyFont="1" applyBorder="1" applyAlignment="1">
      <alignment horizontal="left" vertical="top" wrapText="1"/>
    </xf>
    <xf numFmtId="0" fontId="4" fillId="0" borderId="0" xfId="9" applyAlignment="1">
      <alignment vertical="center"/>
    </xf>
    <xf numFmtId="0" fontId="5" fillId="0" borderId="0" xfId="9" applyFont="1" applyAlignment="1">
      <alignment vertical="center"/>
    </xf>
    <xf numFmtId="171" fontId="5" fillId="0" borderId="0" xfId="9" applyNumberFormat="1" applyFont="1" applyAlignment="1">
      <alignment vertical="center"/>
    </xf>
    <xf numFmtId="0" fontId="42" fillId="0" borderId="0" xfId="235" applyFont="1" applyAlignment="1" applyProtection="1">
      <alignment horizontal="left" vertical="center"/>
      <protection locked="0"/>
    </xf>
    <xf numFmtId="0" fontId="42" fillId="0" borderId="0" xfId="235" applyFont="1" applyAlignment="1" applyProtection="1">
      <alignment horizontal="left" vertical="center" wrapText="1"/>
      <protection locked="0"/>
    </xf>
    <xf numFmtId="0" fontId="4" fillId="0" borderId="0" xfId="9" applyAlignment="1">
      <alignment vertical="center" wrapText="1"/>
    </xf>
    <xf numFmtId="0" fontId="42" fillId="0" borderId="0" xfId="9" applyFont="1" applyAlignment="1">
      <alignment horizontal="center" vertical="center"/>
    </xf>
    <xf numFmtId="0" fontId="4" fillId="0" borderId="0" xfId="9" applyAlignment="1">
      <alignment horizontal="left" vertical="center" wrapText="1"/>
    </xf>
    <xf numFmtId="171" fontId="5" fillId="0" borderId="0" xfId="9" applyNumberFormat="1" applyFont="1" applyAlignment="1">
      <alignment vertical="center" wrapText="1"/>
    </xf>
    <xf numFmtId="0" fontId="42" fillId="0" borderId="0" xfId="209" applyFont="1" applyAlignment="1">
      <alignment vertical="top" wrapText="1"/>
    </xf>
    <xf numFmtId="0" fontId="42" fillId="0" borderId="0" xfId="209" applyFont="1" applyAlignment="1">
      <alignment vertical="center" wrapText="1"/>
    </xf>
    <xf numFmtId="171" fontId="37" fillId="0" borderId="0" xfId="209" applyNumberFormat="1" applyFont="1" applyAlignment="1">
      <alignment vertical="center" wrapText="1"/>
    </xf>
    <xf numFmtId="0" fontId="42" fillId="0" borderId="0" xfId="209" applyFont="1" applyAlignment="1">
      <alignment horizontal="right" vertical="top" wrapText="1"/>
    </xf>
    <xf numFmtId="0" fontId="42" fillId="0" borderId="0" xfId="209" applyFont="1" applyAlignment="1">
      <alignment horizontal="right" vertical="center" wrapText="1"/>
    </xf>
    <xf numFmtId="171" fontId="5" fillId="0" borderId="0" xfId="236" applyNumberFormat="1" applyFont="1" applyAlignment="1">
      <alignment vertical="center" wrapText="1"/>
    </xf>
    <xf numFmtId="171" fontId="37" fillId="0" borderId="0" xfId="236" applyNumberFormat="1" applyFont="1" applyAlignment="1">
      <alignment vertical="center" wrapText="1"/>
    </xf>
    <xf numFmtId="0" fontId="4" fillId="0" borderId="0" xfId="8" applyAlignment="1">
      <alignment horizontal="justify" vertical="top"/>
    </xf>
    <xf numFmtId="0" fontId="4" fillId="0" borderId="0" xfId="8" applyAlignment="1">
      <alignment vertical="center"/>
    </xf>
    <xf numFmtId="0" fontId="4" fillId="0" borderId="0" xfId="8" applyAlignment="1">
      <alignment horizontal="justify" vertical="top" wrapText="1"/>
    </xf>
    <xf numFmtId="0" fontId="4" fillId="0" borderId="0" xfId="8" applyAlignment="1">
      <alignment horizontal="right" vertical="center" wrapText="1"/>
    </xf>
    <xf numFmtId="0" fontId="4" fillId="0" borderId="0" xfId="8" applyAlignment="1">
      <alignment horizontal="left" vertical="top" wrapText="1"/>
    </xf>
    <xf numFmtId="0" fontId="4" fillId="0" borderId="0" xfId="8" applyAlignment="1">
      <alignment horizontal="right" wrapText="1"/>
    </xf>
    <xf numFmtId="0" fontId="4" fillId="0" borderId="0" xfId="209" applyFont="1" applyAlignment="1">
      <alignment vertical="center" wrapText="1"/>
    </xf>
    <xf numFmtId="49" fontId="4" fillId="0" borderId="0" xfId="237" applyNumberFormat="1" applyAlignment="1" applyProtection="1">
      <alignment vertical="top" wrapText="1"/>
      <protection locked="0"/>
    </xf>
    <xf numFmtId="0" fontId="4" fillId="0" borderId="0" xfId="209" applyFont="1" applyAlignment="1">
      <alignment vertical="top" wrapText="1"/>
    </xf>
    <xf numFmtId="0" fontId="4" fillId="0" borderId="0" xfId="209" applyFont="1" applyAlignment="1">
      <alignment wrapText="1"/>
    </xf>
    <xf numFmtId="0" fontId="5" fillId="0" borderId="0" xfId="209" applyFont="1" applyAlignment="1">
      <alignment vertical="center"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wrapText="1"/>
    </xf>
    <xf numFmtId="0" fontId="5" fillId="0" borderId="0" xfId="0" applyFont="1" applyAlignment="1">
      <alignment wrapText="1"/>
    </xf>
    <xf numFmtId="0" fontId="46" fillId="0" borderId="0" xfId="0" applyFont="1" applyProtection="1">
      <protection locked="0"/>
    </xf>
    <xf numFmtId="0" fontId="0" fillId="0" borderId="0" xfId="0" applyProtection="1">
      <protection locked="0"/>
    </xf>
    <xf numFmtId="0" fontId="4" fillId="0" borderId="0" xfId="209" applyFont="1" applyAlignment="1">
      <alignment horizontal="right" wrapText="1"/>
    </xf>
    <xf numFmtId="0" fontId="4" fillId="0" borderId="0" xfId="0" applyFont="1" applyAlignment="1">
      <alignment horizontal="right" wrapText="1"/>
    </xf>
    <xf numFmtId="0" fontId="11" fillId="0" borderId="0" xfId="238" applyFont="1" applyAlignment="1">
      <alignment vertical="top" wrapText="1"/>
    </xf>
    <xf numFmtId="171" fontId="4" fillId="0" borderId="0" xfId="14" applyNumberFormat="1" applyAlignment="1">
      <alignment wrapText="1"/>
    </xf>
    <xf numFmtId="0" fontId="11" fillId="0" borderId="0" xfId="235" applyFont="1" applyAlignment="1" applyProtection="1">
      <alignment vertical="top" wrapText="1"/>
      <protection locked="0"/>
    </xf>
    <xf numFmtId="49" fontId="4" fillId="0" borderId="0" xfId="235" applyNumberFormat="1" applyFont="1" applyAlignment="1" applyProtection="1">
      <alignment horizontal="center" vertical="top" wrapText="1"/>
      <protection locked="0"/>
    </xf>
    <xf numFmtId="0" fontId="4" fillId="0" borderId="0" xfId="235" applyFont="1" applyAlignment="1" applyProtection="1">
      <alignment vertical="top" wrapText="1"/>
      <protection locked="0"/>
    </xf>
    <xf numFmtId="0" fontId="4" fillId="0" borderId="0" xfId="235" applyFont="1" applyAlignment="1" applyProtection="1">
      <alignment wrapText="1"/>
      <protection locked="0"/>
    </xf>
    <xf numFmtId="4" fontId="47" fillId="0" borderId="0" xfId="236" applyNumberFormat="1" applyFont="1" applyAlignment="1">
      <alignment wrapText="1"/>
    </xf>
    <xf numFmtId="0" fontId="4" fillId="0" borderId="0" xfId="235" applyFont="1" applyAlignment="1">
      <alignment vertical="top" wrapText="1"/>
    </xf>
    <xf numFmtId="0" fontId="4" fillId="0" borderId="0" xfId="235" applyFont="1" applyAlignment="1">
      <alignment horizontal="right" wrapText="1"/>
    </xf>
    <xf numFmtId="0" fontId="4" fillId="0" borderId="0" xfId="235" applyFont="1" applyAlignment="1">
      <alignment wrapText="1"/>
    </xf>
    <xf numFmtId="0" fontId="42" fillId="0" borderId="0" xfId="8" applyFont="1" applyAlignment="1">
      <alignment horizontal="right" vertical="top"/>
    </xf>
    <xf numFmtId="0" fontId="42" fillId="0" borderId="0" xfId="8" applyFont="1" applyAlignment="1">
      <alignment horizontal="right" wrapText="1"/>
    </xf>
    <xf numFmtId="0" fontId="4" fillId="0" borderId="0" xfId="8" applyAlignment="1">
      <alignment horizontal="right"/>
    </xf>
    <xf numFmtId="0" fontId="42" fillId="0" borderId="0" xfId="8" applyFont="1" applyAlignment="1">
      <alignment horizontal="justify" vertical="top"/>
    </xf>
    <xf numFmtId="0" fontId="5" fillId="0" borderId="0" xfId="9" applyFont="1" applyAlignment="1">
      <alignment vertical="top" wrapText="1"/>
    </xf>
    <xf numFmtId="0" fontId="4" fillId="0" borderId="0" xfId="9" applyAlignment="1">
      <alignment wrapText="1"/>
    </xf>
    <xf numFmtId="0" fontId="5" fillId="0" borderId="0" xfId="9" applyFont="1" applyAlignment="1">
      <alignment vertical="center" wrapText="1"/>
    </xf>
    <xf numFmtId="0" fontId="4" fillId="0" borderId="0" xfId="8" applyAlignment="1">
      <alignment horizontal="left" wrapText="1"/>
    </xf>
    <xf numFmtId="0" fontId="42" fillId="0" borderId="0" xfId="8" applyFont="1" applyAlignment="1">
      <alignment horizontal="left" vertical="top"/>
    </xf>
    <xf numFmtId="0" fontId="4" fillId="0" borderId="0" xfId="8" applyAlignment="1">
      <alignment horizontal="right" vertical="top" wrapText="1"/>
    </xf>
    <xf numFmtId="0" fontId="4" fillId="0" borderId="0" xfId="9" applyAlignment="1">
      <alignment vertical="top" wrapText="1"/>
    </xf>
    <xf numFmtId="0" fontId="4" fillId="0" borderId="0" xfId="239" applyAlignment="1">
      <alignment vertical="top" wrapText="1"/>
    </xf>
    <xf numFmtId="0" fontId="4" fillId="0" borderId="0" xfId="239" applyAlignment="1">
      <alignment wrapText="1"/>
    </xf>
    <xf numFmtId="0" fontId="37" fillId="0" borderId="0" xfId="9" applyFont="1" applyAlignment="1">
      <alignment vertical="top" wrapText="1"/>
    </xf>
    <xf numFmtId="0" fontId="42" fillId="0" borderId="0" xfId="9" applyFont="1" applyAlignment="1">
      <alignment wrapText="1"/>
    </xf>
    <xf numFmtId="0" fontId="42" fillId="0" borderId="0" xfId="9" applyFont="1" applyAlignment="1">
      <alignment vertical="center" wrapText="1"/>
    </xf>
    <xf numFmtId="0" fontId="4" fillId="0" borderId="0" xfId="9" applyAlignment="1">
      <alignment horizontal="right" wrapText="1"/>
    </xf>
    <xf numFmtId="0" fontId="37" fillId="0" borderId="0" xfId="9" applyFont="1" applyAlignment="1">
      <alignment horizontal="right" vertical="top" wrapText="1"/>
    </xf>
    <xf numFmtId="0" fontId="42" fillId="0" borderId="0" xfId="209" applyFont="1" applyAlignment="1">
      <alignment horizontal="right" wrapText="1"/>
    </xf>
    <xf numFmtId="0" fontId="42" fillId="0" borderId="0" xfId="209" applyFont="1" applyAlignment="1">
      <alignment wrapText="1"/>
    </xf>
    <xf numFmtId="0" fontId="42" fillId="0" borderId="0" xfId="8" applyFont="1" applyAlignment="1">
      <alignment horizontal="left" vertical="top" wrapText="1"/>
    </xf>
    <xf numFmtId="0" fontId="42" fillId="0" borderId="0" xfId="9" applyFont="1" applyAlignment="1">
      <alignment vertical="top" wrapText="1"/>
    </xf>
    <xf numFmtId="0" fontId="42" fillId="0" borderId="0" xfId="8" applyFont="1" applyAlignment="1">
      <alignment horizontal="justify" vertical="center"/>
    </xf>
    <xf numFmtId="0" fontId="4" fillId="0" borderId="0" xfId="8" applyAlignment="1">
      <alignment horizontal="right" vertical="center"/>
    </xf>
    <xf numFmtId="0" fontId="4" fillId="0" borderId="52" xfId="9" applyBorder="1" applyAlignment="1">
      <alignment vertical="center" wrapText="1"/>
    </xf>
    <xf numFmtId="0" fontId="4" fillId="0" borderId="52" xfId="9" applyBorder="1" applyAlignment="1">
      <alignment horizontal="left" vertical="center" wrapText="1"/>
    </xf>
    <xf numFmtId="0" fontId="42" fillId="0" borderId="0" xfId="235" applyFont="1" applyAlignment="1" applyProtection="1">
      <alignment horizontal="right" vertical="center" wrapText="1"/>
      <protection locked="0"/>
    </xf>
    <xf numFmtId="0" fontId="4" fillId="0" borderId="0" xfId="9" applyAlignment="1">
      <alignment horizontal="right" vertical="center"/>
    </xf>
    <xf numFmtId="0" fontId="4" fillId="0" borderId="0" xfId="9" applyAlignment="1">
      <alignment horizontal="right" vertical="center" wrapText="1"/>
    </xf>
    <xf numFmtId="0" fontId="5" fillId="0" borderId="0" xfId="209" applyFont="1" applyAlignment="1">
      <alignment horizontal="right" wrapText="1"/>
    </xf>
    <xf numFmtId="0" fontId="5" fillId="0" borderId="0" xfId="0" applyFont="1" applyAlignment="1">
      <alignment horizontal="right" wrapText="1"/>
    </xf>
    <xf numFmtId="0" fontId="4" fillId="0" borderId="0" xfId="235" applyFont="1" applyAlignment="1" applyProtection="1">
      <alignment horizontal="right" wrapText="1"/>
      <protection locked="0"/>
    </xf>
    <xf numFmtId="0" fontId="42" fillId="0" borderId="0" xfId="8" applyFont="1" applyAlignment="1">
      <alignment horizontal="right"/>
    </xf>
    <xf numFmtId="0" fontId="5" fillId="0" borderId="0" xfId="9" applyFont="1" applyAlignment="1">
      <alignment horizontal="right" wrapText="1"/>
    </xf>
    <xf numFmtId="0" fontId="4" fillId="0" borderId="0" xfId="239" applyAlignment="1">
      <alignment horizontal="right" wrapText="1"/>
    </xf>
    <xf numFmtId="0" fontId="37" fillId="0" borderId="0" xfId="9" applyFont="1" applyAlignment="1">
      <alignment horizontal="right" wrapText="1"/>
    </xf>
    <xf numFmtId="0" fontId="42" fillId="0" borderId="0" xfId="9" applyFont="1" applyAlignment="1">
      <alignment horizontal="right" wrapText="1"/>
    </xf>
    <xf numFmtId="0" fontId="42" fillId="0" borderId="0" xfId="8" applyFont="1" applyAlignment="1">
      <alignment horizontal="right" vertical="center" wrapText="1"/>
    </xf>
    <xf numFmtId="0" fontId="4" fillId="0" borderId="52" xfId="9" applyBorder="1" applyAlignment="1">
      <alignment horizontal="right" vertical="center" wrapText="1"/>
    </xf>
    <xf numFmtId="0" fontId="49" fillId="0" borderId="8" xfId="0" applyFont="1" applyBorder="1" applyAlignment="1">
      <alignment horizontal="left"/>
    </xf>
    <xf numFmtId="0" fontId="49" fillId="0" borderId="8" xfId="0" applyFont="1" applyBorder="1" applyAlignment="1">
      <alignment horizontal="center" vertical="center"/>
    </xf>
    <xf numFmtId="39" fontId="49" fillId="0" borderId="6" xfId="0" applyNumberFormat="1" applyFont="1" applyBorder="1" applyAlignment="1">
      <alignment horizontal="right" vertical="center"/>
    </xf>
    <xf numFmtId="174" fontId="49" fillId="0" borderId="0" xfId="0" applyNumberFormat="1" applyFont="1" applyAlignment="1">
      <alignment horizontal="left"/>
    </xf>
    <xf numFmtId="0" fontId="49" fillId="0" borderId="0" xfId="0" applyFont="1" applyAlignment="1">
      <alignment horizontal="left" vertical="center"/>
    </xf>
    <xf numFmtId="175"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xf>
    <xf numFmtId="0" fontId="51" fillId="0" borderId="0" xfId="0" applyFont="1" applyAlignment="1">
      <alignment horizontal="left" vertical="center"/>
    </xf>
    <xf numFmtId="0" fontId="50" fillId="0" borderId="0" xfId="0" applyFont="1" applyAlignment="1">
      <alignment horizontal="left" vertical="center"/>
    </xf>
    <xf numFmtId="0" fontId="49" fillId="0" borderId="0" xfId="0" quotePrefix="1" applyFont="1" applyAlignment="1">
      <alignment horizontal="left" vertical="center"/>
    </xf>
    <xf numFmtId="0" fontId="52" fillId="0" borderId="0" xfId="0" applyFont="1" applyAlignment="1">
      <alignment horizontal="left" vertical="center"/>
    </xf>
    <xf numFmtId="174" fontId="49" fillId="0" borderId="0" xfId="0" applyNumberFormat="1" applyFont="1" applyAlignment="1">
      <alignment horizontal="left" vertical="top"/>
    </xf>
    <xf numFmtId="0" fontId="49" fillId="0" borderId="0" xfId="0" applyFont="1" applyAlignment="1">
      <alignment horizontal="left" vertical="center" wrapText="1"/>
    </xf>
    <xf numFmtId="175" fontId="49" fillId="0" borderId="0" xfId="0" applyNumberFormat="1" applyFont="1"/>
    <xf numFmtId="174" fontId="55" fillId="0" borderId="0" xfId="0" applyNumberFormat="1" applyFont="1" applyAlignment="1">
      <alignment horizontal="left"/>
    </xf>
    <xf numFmtId="0" fontId="55" fillId="0" borderId="0" xfId="0" applyFont="1" applyAlignment="1">
      <alignment horizontal="left" vertical="center"/>
    </xf>
    <xf numFmtId="175" fontId="55" fillId="0" borderId="0" xfId="0" applyNumberFormat="1" applyFont="1" applyAlignment="1">
      <alignment vertical="center"/>
    </xf>
    <xf numFmtId="0" fontId="49" fillId="0" borderId="0" xfId="0" applyFont="1" applyAlignment="1">
      <alignment horizontal="justify" vertical="top" wrapText="1"/>
    </xf>
    <xf numFmtId="0" fontId="56" fillId="0" borderId="0" xfId="0" applyFont="1" applyAlignment="1">
      <alignment horizontal="justify" wrapText="1"/>
    </xf>
    <xf numFmtId="0" fontId="56" fillId="0" borderId="0" xfId="0" applyFont="1" applyAlignment="1">
      <alignment horizontal="justify" vertical="top" wrapText="1"/>
    </xf>
    <xf numFmtId="0" fontId="57" fillId="0" borderId="0" xfId="0" applyFont="1" applyAlignment="1">
      <alignment horizontal="left" vertical="center"/>
    </xf>
    <xf numFmtId="175" fontId="57" fillId="0" borderId="0" xfId="0" applyNumberFormat="1" applyFont="1" applyAlignment="1">
      <alignment vertical="center"/>
    </xf>
    <xf numFmtId="0" fontId="49" fillId="0" borderId="0" xfId="0" applyFont="1" applyAlignment="1">
      <alignment horizontal="left" vertical="top" wrapText="1"/>
    </xf>
    <xf numFmtId="174" fontId="57" fillId="0" borderId="0" xfId="0" applyNumberFormat="1" applyFont="1" applyAlignment="1">
      <alignment horizontal="left"/>
    </xf>
    <xf numFmtId="0" fontId="50" fillId="0" borderId="0" xfId="0" applyFont="1" applyAlignment="1">
      <alignment horizontal="left"/>
    </xf>
    <xf numFmtId="174" fontId="50" fillId="36" borderId="0" xfId="0" applyNumberFormat="1" applyFont="1" applyFill="1" applyAlignment="1">
      <alignment horizontal="left"/>
    </xf>
    <xf numFmtId="0" fontId="49" fillId="36" borderId="0" xfId="0" applyFont="1" applyFill="1" applyAlignment="1">
      <alignment vertical="center"/>
    </xf>
    <xf numFmtId="175" fontId="49" fillId="36" borderId="0" xfId="0" applyNumberFormat="1" applyFont="1" applyFill="1" applyAlignment="1">
      <alignment vertical="center"/>
    </xf>
    <xf numFmtId="0" fontId="49" fillId="36" borderId="0" xfId="0" applyFont="1" applyFill="1" applyAlignment="1">
      <alignment horizontal="right" vertical="center"/>
    </xf>
    <xf numFmtId="0" fontId="4" fillId="0" borderId="0" xfId="0" applyFont="1" applyAlignment="1">
      <alignment horizontal="center" wrapText="1"/>
    </xf>
    <xf numFmtId="0" fontId="58" fillId="0" borderId="0" xfId="0" applyFont="1" applyAlignment="1">
      <alignment horizontal="left" indent="2"/>
    </xf>
    <xf numFmtId="0" fontId="4" fillId="0" borderId="0" xfId="0" applyFont="1" applyAlignment="1">
      <alignment horizontal="left" wrapText="1"/>
    </xf>
    <xf numFmtId="0" fontId="36" fillId="0" borderId="0" xfId="0" applyFont="1" applyAlignment="1">
      <alignment wrapText="1"/>
    </xf>
    <xf numFmtId="0" fontId="4" fillId="0" borderId="0" xfId="0" applyFont="1"/>
    <xf numFmtId="0" fontId="40" fillId="0" borderId="0" xfId="0" applyFont="1" applyAlignment="1">
      <alignment horizontal="center" vertical="top" wrapText="1"/>
    </xf>
    <xf numFmtId="0" fontId="60" fillId="0" borderId="0" xfId="0" applyFont="1" applyAlignment="1">
      <alignment horizontal="center" vertical="center" wrapText="1"/>
    </xf>
    <xf numFmtId="0" fontId="40" fillId="0" borderId="0" xfId="0" applyFont="1" applyAlignment="1">
      <alignment wrapText="1"/>
    </xf>
    <xf numFmtId="171" fontId="36" fillId="0" borderId="0" xfId="0" applyNumberFormat="1" applyFont="1" applyAlignment="1">
      <alignment wrapText="1"/>
    </xf>
    <xf numFmtId="16" fontId="42" fillId="0" borderId="0" xfId="0" applyNumberFormat="1" applyFont="1" applyAlignment="1">
      <alignment horizontal="center" vertical="top" wrapText="1"/>
    </xf>
    <xf numFmtId="0" fontId="42" fillId="0" borderId="0" xfId="0" applyFont="1" applyAlignment="1">
      <alignment horizontal="left" wrapText="1"/>
    </xf>
    <xf numFmtId="0" fontId="42" fillId="0" borderId="0" xfId="0" applyFont="1" applyAlignment="1">
      <alignment horizontal="center" wrapText="1"/>
    </xf>
    <xf numFmtId="171" fontId="4" fillId="0" borderId="0" xfId="240" applyNumberFormat="1" applyAlignment="1">
      <alignment wrapText="1"/>
    </xf>
    <xf numFmtId="0" fontId="42" fillId="0" borderId="0" xfId="0" applyFont="1" applyAlignment="1">
      <alignment wrapText="1"/>
    </xf>
    <xf numFmtId="0" fontId="4" fillId="0" borderId="0" xfId="0" applyFont="1" applyAlignment="1">
      <alignment horizontal="center" vertical="top" wrapText="1"/>
    </xf>
    <xf numFmtId="49" fontId="0" fillId="0" borderId="0" xfId="3" applyNumberFormat="1" applyFont="1" applyAlignment="1">
      <alignment horizontal="left" vertical="top" wrapText="1"/>
    </xf>
    <xf numFmtId="0" fontId="5" fillId="0" borderId="0" xfId="235" applyFont="1" applyAlignment="1" applyProtection="1">
      <alignment wrapText="1"/>
      <protection locked="0"/>
    </xf>
    <xf numFmtId="49" fontId="0" fillId="0" borderId="0" xfId="3" quotePrefix="1" applyNumberFormat="1" applyFont="1" applyAlignment="1">
      <alignment horizontal="justify" vertical="top"/>
    </xf>
    <xf numFmtId="0" fontId="5" fillId="0" borderId="0" xfId="235" applyFont="1" applyAlignment="1" applyProtection="1">
      <alignment vertical="top" wrapText="1"/>
      <protection locked="0"/>
    </xf>
    <xf numFmtId="172" fontId="4" fillId="0" borderId="0" xfId="238" applyNumberFormat="1" applyFont="1" applyAlignment="1">
      <alignment horizontal="center" vertical="top" wrapText="1"/>
    </xf>
    <xf numFmtId="0" fontId="4" fillId="0" borderId="0" xfId="238" applyFont="1" applyAlignment="1">
      <alignment wrapText="1"/>
    </xf>
    <xf numFmtId="0" fontId="4" fillId="0" borderId="0" xfId="238" applyFont="1" applyAlignment="1">
      <alignment horizontal="right" wrapText="1"/>
    </xf>
    <xf numFmtId="0" fontId="4" fillId="0" borderId="0" xfId="235" applyFont="1" applyAlignment="1" applyProtection="1">
      <alignment horizontal="left" wrapText="1"/>
      <protection locked="0"/>
    </xf>
    <xf numFmtId="0" fontId="42" fillId="0" borderId="0" xfId="0" applyFont="1" applyAlignment="1">
      <alignment horizontal="center" vertical="top" wrapText="1"/>
    </xf>
    <xf numFmtId="0" fontId="42" fillId="0" borderId="0" xfId="0" applyFont="1" applyAlignment="1">
      <alignment horizontal="right" wrapText="1"/>
    </xf>
    <xf numFmtId="49" fontId="0" fillId="0" borderId="0" xfId="3" applyNumberFormat="1" applyFont="1" applyAlignment="1">
      <alignment vertical="top" wrapText="1"/>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wrapText="1"/>
    </xf>
    <xf numFmtId="0" fontId="42" fillId="0" borderId="0" xfId="239" applyFont="1" applyAlignment="1">
      <alignment vertical="top" wrapText="1"/>
    </xf>
    <xf numFmtId="0" fontId="42" fillId="0" borderId="0" xfId="239" applyFont="1" applyAlignment="1">
      <alignment wrapText="1"/>
    </xf>
    <xf numFmtId="0" fontId="42" fillId="0" borderId="52" xfId="0" applyFont="1" applyBorder="1" applyAlignment="1">
      <alignment horizontal="center" wrapText="1"/>
    </xf>
    <xf numFmtId="0" fontId="42" fillId="0" borderId="52" xfId="0" applyFont="1" applyBorder="1" applyAlignment="1">
      <alignment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0" xfId="0" applyFont="1" applyAlignment="1">
      <alignment horizontal="left" vertical="center" wrapText="1"/>
    </xf>
    <xf numFmtId="171" fontId="42" fillId="0" borderId="0" xfId="240" applyNumberFormat="1" applyFont="1" applyAlignment="1">
      <alignment vertical="center" wrapText="1"/>
    </xf>
    <xf numFmtId="49" fontId="4" fillId="0" borderId="0" xfId="235" applyNumberFormat="1" applyFont="1" applyAlignment="1">
      <alignment horizontal="center" vertical="top" wrapText="1"/>
    </xf>
    <xf numFmtId="0" fontId="62" fillId="0" borderId="0" xfId="0" quotePrefix="1" applyFont="1" applyAlignment="1">
      <alignment horizontal="left" wrapText="1"/>
    </xf>
    <xf numFmtId="0" fontId="36" fillId="0" borderId="0" xfId="0" quotePrefix="1" applyFont="1" applyAlignment="1">
      <alignment horizontal="left" wrapText="1"/>
    </xf>
    <xf numFmtId="0" fontId="4" fillId="0" borderId="0" xfId="239" applyAlignment="1">
      <alignment horizontal="left" wrapText="1"/>
    </xf>
    <xf numFmtId="0" fontId="4" fillId="0" borderId="0" xfId="240" applyAlignment="1">
      <alignment wrapText="1"/>
    </xf>
    <xf numFmtId="49" fontId="42" fillId="0" borderId="0" xfId="235" applyNumberFormat="1" applyFont="1" applyAlignment="1" applyProtection="1">
      <alignment horizontal="left" vertical="center" wrapText="1"/>
      <protection locked="0"/>
    </xf>
    <xf numFmtId="0" fontId="40" fillId="0" borderId="0" xfId="9" applyFont="1" applyAlignment="1">
      <alignment horizontal="left" vertical="center"/>
    </xf>
    <xf numFmtId="0" fontId="4" fillId="0" borderId="0" xfId="9" applyAlignment="1">
      <alignment horizontal="left" vertical="center"/>
    </xf>
    <xf numFmtId="16" fontId="42" fillId="0" borderId="0" xfId="209" applyNumberFormat="1" applyFont="1" applyAlignment="1">
      <alignment horizontal="left" vertical="top" wrapText="1"/>
    </xf>
    <xf numFmtId="0" fontId="42" fillId="0" borderId="0" xfId="209" applyFont="1" applyAlignment="1">
      <alignment horizontal="left" vertical="top" wrapText="1"/>
    </xf>
    <xf numFmtId="0" fontId="4" fillId="0" borderId="0" xfId="8" applyAlignment="1">
      <alignment horizontal="left" vertical="top"/>
    </xf>
    <xf numFmtId="0" fontId="5" fillId="0" borderId="0" xfId="209" applyFont="1" applyAlignment="1">
      <alignment horizontal="left" vertical="top" wrapText="1"/>
    </xf>
    <xf numFmtId="0" fontId="5" fillId="0" borderId="0" xfId="0" applyFont="1" applyAlignment="1">
      <alignment horizontal="left" vertical="top" wrapText="1"/>
    </xf>
    <xf numFmtId="49" fontId="4" fillId="0" borderId="0" xfId="235" applyNumberFormat="1" applyFont="1" applyAlignment="1" applyProtection="1">
      <alignment horizontal="left" vertical="top" wrapText="1"/>
      <protection locked="0"/>
    </xf>
    <xf numFmtId="172" fontId="4" fillId="0" borderId="0" xfId="235" applyNumberFormat="1" applyFont="1" applyAlignment="1">
      <alignment horizontal="left" vertical="top" wrapText="1"/>
    </xf>
    <xf numFmtId="0" fontId="37" fillId="0" borderId="0" xfId="9" applyFont="1" applyAlignment="1">
      <alignment horizontal="left" vertical="top" wrapText="1"/>
    </xf>
    <xf numFmtId="0" fontId="4" fillId="0" borderId="0" xfId="9" applyAlignment="1">
      <alignment horizontal="left" vertical="top" wrapText="1"/>
    </xf>
    <xf numFmtId="0" fontId="5" fillId="0" borderId="0" xfId="9" applyFont="1" applyAlignment="1">
      <alignment horizontal="left" vertical="top" wrapText="1"/>
    </xf>
    <xf numFmtId="0" fontId="4" fillId="0" borderId="0" xfId="209" applyFont="1" applyAlignment="1">
      <alignment horizontal="left" vertical="top" wrapText="1"/>
    </xf>
    <xf numFmtId="173" fontId="4" fillId="0" borderId="0" xfId="209" applyNumberFormat="1" applyFont="1" applyAlignment="1">
      <alignment horizontal="left" vertical="top" wrapText="1"/>
    </xf>
    <xf numFmtId="0" fontId="42" fillId="0" borderId="0" xfId="8" applyFont="1" applyAlignment="1">
      <alignment horizontal="left" vertical="center"/>
    </xf>
    <xf numFmtId="0" fontId="50" fillId="6" borderId="0" xfId="0" applyFont="1" applyFill="1" applyAlignment="1">
      <alignment horizontal="left"/>
    </xf>
    <xf numFmtId="0" fontId="50" fillId="6" borderId="52" xfId="0" applyFont="1" applyFill="1" applyBorder="1" applyAlignment="1">
      <alignment horizontal="left" vertical="center"/>
    </xf>
    <xf numFmtId="0" fontId="50" fillId="6" borderId="52" xfId="0" applyFont="1" applyFill="1" applyBorder="1" applyAlignment="1">
      <alignment vertical="center"/>
    </xf>
    <xf numFmtId="0" fontId="6" fillId="0" borderId="0" xfId="9" applyFont="1" applyAlignment="1">
      <alignment vertical="center" wrapText="1"/>
    </xf>
    <xf numFmtId="49" fontId="0" fillId="0" borderId="0" xfId="3" applyNumberFormat="1" applyFont="1" applyAlignment="1">
      <alignment wrapText="1"/>
    </xf>
    <xf numFmtId="173" fontId="4" fillId="0" borderId="0" xfId="0" applyNumberFormat="1" applyFont="1" applyAlignment="1">
      <alignment horizontal="center" vertical="top" wrapText="1"/>
    </xf>
    <xf numFmtId="0" fontId="4" fillId="0" borderId="0" xfId="82" applyFont="1" applyAlignment="1">
      <alignment horizontal="center" vertical="top" wrapText="1"/>
    </xf>
    <xf numFmtId="0" fontId="4" fillId="0" borderId="0" xfId="82" applyFont="1" applyAlignment="1">
      <alignment vertical="top" wrapText="1"/>
    </xf>
    <xf numFmtId="0" fontId="4" fillId="0" borderId="0" xfId="8"/>
    <xf numFmtId="0" fontId="4" fillId="0" borderId="0" xfId="8" applyAlignment="1">
      <alignment wrapText="1"/>
    </xf>
    <xf numFmtId="0" fontId="4" fillId="0" borderId="0" xfId="82" applyFont="1" applyAlignment="1">
      <alignment wrapText="1"/>
    </xf>
    <xf numFmtId="0" fontId="4" fillId="0" borderId="0" xfId="82" applyFont="1" applyAlignment="1">
      <alignment horizontal="justify" vertical="top" wrapText="1"/>
    </xf>
    <xf numFmtId="0" fontId="4" fillId="0" borderId="0" xfId="82" applyFont="1"/>
    <xf numFmtId="0" fontId="4" fillId="0" borderId="0" xfId="82" applyFont="1" applyAlignment="1">
      <alignment horizontal="right" vertical="top" wrapText="1"/>
    </xf>
    <xf numFmtId="0" fontId="4" fillId="0" borderId="0" xfId="82" applyFont="1" applyAlignment="1">
      <alignment horizontal="right"/>
    </xf>
    <xf numFmtId="0" fontId="4" fillId="0" borderId="0" xfId="82" applyFont="1" applyAlignment="1">
      <alignment horizontal="left" wrapText="1"/>
    </xf>
    <xf numFmtId="176" fontId="4" fillId="0" borderId="0" xfId="0" applyNumberFormat="1" applyFont="1" applyAlignment="1">
      <alignment horizontal="center"/>
    </xf>
    <xf numFmtId="0" fontId="42" fillId="0" borderId="0" xfId="0" applyFont="1" applyAlignment="1">
      <alignment vertical="top" wrapText="1"/>
    </xf>
    <xf numFmtId="0" fontId="42" fillId="0" borderId="52" xfId="0" applyFont="1" applyBorder="1" applyAlignment="1">
      <alignment horizontal="left"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171" fontId="7" fillId="0" borderId="0" xfId="240" applyNumberFormat="1" applyFont="1" applyAlignment="1">
      <alignment vertical="center" wrapText="1"/>
    </xf>
    <xf numFmtId="7" fontId="42" fillId="0" borderId="0" xfId="240" applyNumberFormat="1" applyFont="1" applyAlignment="1">
      <alignment vertical="center" wrapText="1"/>
    </xf>
    <xf numFmtId="0" fontId="63" fillId="0" borderId="0" xfId="0" applyFont="1" applyAlignment="1">
      <alignment wrapText="1"/>
    </xf>
    <xf numFmtId="0" fontId="42" fillId="6" borderId="0" xfId="0" applyFont="1" applyFill="1" applyAlignment="1">
      <alignment vertical="center" wrapText="1"/>
    </xf>
    <xf numFmtId="0" fontId="42" fillId="6" borderId="0" xfId="0" applyFont="1" applyFill="1" applyAlignment="1">
      <alignment horizontal="left" vertical="center" wrapText="1"/>
    </xf>
    <xf numFmtId="0" fontId="42" fillId="6" borderId="0" xfId="0" applyFont="1" applyFill="1" applyAlignment="1">
      <alignment horizontal="center" vertical="center" wrapText="1"/>
    </xf>
    <xf numFmtId="0" fontId="59" fillId="6" borderId="5" xfId="0" applyFont="1" applyFill="1" applyBorder="1" applyAlignment="1">
      <alignment horizontal="center" vertical="center" wrapText="1"/>
    </xf>
    <xf numFmtId="171" fontId="59" fillId="6" borderId="5" xfId="0" applyNumberFormat="1" applyFont="1" applyFill="1" applyBorder="1" applyAlignment="1">
      <alignment horizontal="center" vertical="center" wrapText="1"/>
    </xf>
    <xf numFmtId="0" fontId="37" fillId="6" borderId="0" xfId="9" applyFont="1" applyFill="1" applyAlignment="1">
      <alignment horizontal="left" vertical="center" wrapText="1"/>
    </xf>
    <xf numFmtId="0" fontId="42" fillId="6" borderId="0" xfId="9" applyFont="1" applyFill="1" applyAlignment="1">
      <alignment vertical="center" wrapText="1"/>
    </xf>
    <xf numFmtId="0" fontId="37" fillId="6" borderId="0" xfId="9" applyFont="1" applyFill="1" applyAlignment="1">
      <alignment horizontal="right" vertical="center" wrapText="1"/>
    </xf>
    <xf numFmtId="175" fontId="49" fillId="0" borderId="0" xfId="0" applyNumberFormat="1" applyFont="1" applyAlignment="1"/>
    <xf numFmtId="0" fontId="49" fillId="0" borderId="0" xfId="0" applyFont="1" applyBorder="1" applyAlignment="1">
      <alignment horizontal="left" vertical="center"/>
    </xf>
    <xf numFmtId="0" fontId="49" fillId="0" borderId="0" xfId="0" applyFont="1" applyBorder="1" applyAlignment="1">
      <alignment vertical="center"/>
    </xf>
    <xf numFmtId="0" fontId="53" fillId="0" borderId="53" xfId="0" applyFont="1" applyBorder="1" applyAlignment="1">
      <alignment horizontal="left" vertical="center"/>
    </xf>
    <xf numFmtId="175" fontId="49" fillId="0" borderId="53" xfId="0" applyNumberFormat="1" applyFont="1" applyBorder="1" applyAlignment="1">
      <alignment vertical="center"/>
    </xf>
    <xf numFmtId="0" fontId="65" fillId="6" borderId="5" xfId="9" applyFont="1" applyFill="1" applyBorder="1" applyAlignment="1">
      <alignment horizontal="left" vertical="center"/>
    </xf>
    <xf numFmtId="0" fontId="65" fillId="6" borderId="5" xfId="9" applyFont="1" applyFill="1" applyBorder="1" applyAlignment="1">
      <alignment horizontal="center" vertical="center" wrapText="1"/>
    </xf>
    <xf numFmtId="0" fontId="65" fillId="6" borderId="5" xfId="9" applyFont="1" applyFill="1" applyBorder="1" applyAlignment="1">
      <alignment horizontal="center" vertical="center"/>
    </xf>
    <xf numFmtId="0" fontId="65" fillId="6" borderId="5" xfId="9" applyFont="1" applyFill="1" applyBorder="1" applyAlignment="1">
      <alignment horizontal="right" vertical="center"/>
    </xf>
    <xf numFmtId="171" fontId="65" fillId="6" borderId="5" xfId="9" applyNumberFormat="1" applyFont="1" applyFill="1" applyBorder="1" applyAlignment="1">
      <alignment horizontal="center" vertical="center"/>
    </xf>
    <xf numFmtId="0" fontId="49" fillId="0" borderId="53" xfId="241" applyFont="1" applyFill="1" applyBorder="1" applyAlignment="1">
      <alignment horizontal="left" vertical="center" wrapText="1"/>
    </xf>
    <xf numFmtId="0" fontId="49" fillId="0" borderId="8" xfId="241" applyFont="1" applyFill="1" applyBorder="1" applyAlignment="1">
      <alignment horizontal="left" vertical="center" wrapText="1"/>
    </xf>
    <xf numFmtId="0" fontId="67" fillId="0" borderId="0" xfId="0" applyFont="1" applyAlignment="1">
      <alignment horizontal="left"/>
    </xf>
    <xf numFmtId="175" fontId="67" fillId="0" borderId="0" xfId="0" applyNumberFormat="1" applyFont="1"/>
    <xf numFmtId="0" fontId="0" fillId="0" borderId="0" xfId="0" applyAlignment="1">
      <alignment horizontal="center"/>
    </xf>
    <xf numFmtId="44" fontId="49" fillId="0" borderId="0" xfId="0" applyNumberFormat="1" applyFont="1" applyAlignment="1">
      <alignment vertical="center"/>
    </xf>
    <xf numFmtId="44" fontId="49" fillId="0" borderId="0" xfId="0" applyNumberFormat="1" applyFont="1" applyAlignment="1">
      <alignment horizontal="right" vertical="center"/>
    </xf>
    <xf numFmtId="44" fontId="66" fillId="0" borderId="0" xfId="0" applyNumberFormat="1" applyFont="1" applyAlignment="1">
      <alignment vertical="center"/>
    </xf>
    <xf numFmtId="44" fontId="49" fillId="0" borderId="53" xfId="21" applyNumberFormat="1" applyFont="1" applyBorder="1" applyAlignment="1">
      <alignment horizontal="right" vertical="center"/>
    </xf>
    <xf numFmtId="44" fontId="54" fillId="0" borderId="0" xfId="0" applyNumberFormat="1" applyFont="1" applyAlignment="1">
      <alignment vertical="center"/>
    </xf>
    <xf numFmtId="44" fontId="49" fillId="0" borderId="0" xfId="0" applyNumberFormat="1" applyFont="1"/>
    <xf numFmtId="44" fontId="49" fillId="0" borderId="0" xfId="0" applyNumberFormat="1" applyFont="1" applyAlignment="1">
      <alignment horizontal="right"/>
    </xf>
    <xf numFmtId="44" fontId="57" fillId="0" borderId="0" xfId="0" applyNumberFormat="1" applyFont="1" applyAlignment="1">
      <alignment vertical="center"/>
    </xf>
    <xf numFmtId="44" fontId="57" fillId="0" borderId="0" xfId="0" applyNumberFormat="1" applyFont="1" applyAlignment="1">
      <alignment horizontal="right" vertical="center"/>
    </xf>
    <xf numFmtId="44" fontId="49" fillId="6" borderId="52" xfId="0" applyNumberFormat="1" applyFont="1" applyFill="1" applyBorder="1" applyAlignment="1">
      <alignment vertical="center"/>
    </xf>
    <xf numFmtId="44" fontId="50" fillId="6" borderId="52" xfId="21" applyNumberFormat="1" applyFont="1" applyFill="1" applyBorder="1" applyAlignment="1">
      <alignment horizontal="right" vertical="center"/>
    </xf>
    <xf numFmtId="44" fontId="68" fillId="0" borderId="0" xfId="0" applyNumberFormat="1" applyFont="1" applyAlignment="1">
      <alignment horizontal="right" vertical="center"/>
    </xf>
    <xf numFmtId="44" fontId="5" fillId="0" borderId="0" xfId="14" applyNumberFormat="1" applyFont="1" applyAlignment="1">
      <alignment wrapText="1"/>
    </xf>
    <xf numFmtId="44" fontId="5" fillId="0" borderId="0" xfId="0" applyNumberFormat="1" applyFont="1" applyAlignment="1">
      <alignment wrapText="1"/>
    </xf>
    <xf numFmtId="44" fontId="5" fillId="0" borderId="0" xfId="209" applyNumberFormat="1" applyFont="1" applyAlignment="1">
      <alignment wrapText="1"/>
    </xf>
    <xf numFmtId="44" fontId="37" fillId="0" borderId="0" xfId="9" applyNumberFormat="1" applyFont="1" applyAlignment="1">
      <alignment wrapText="1"/>
    </xf>
    <xf numFmtId="44" fontId="37" fillId="0" borderId="0" xfId="14" applyNumberFormat="1" applyFont="1" applyAlignment="1">
      <alignment wrapText="1"/>
    </xf>
    <xf numFmtId="44" fontId="5" fillId="0" borderId="0" xfId="9" applyNumberFormat="1" applyFont="1" applyAlignment="1">
      <alignment wrapText="1"/>
    </xf>
    <xf numFmtId="44" fontId="37" fillId="0" borderId="0" xfId="209" applyNumberFormat="1" applyFont="1" applyAlignment="1">
      <alignment wrapText="1"/>
    </xf>
    <xf numFmtId="44" fontId="37" fillId="0" borderId="0" xfId="236" applyNumberFormat="1" applyFont="1" applyAlignment="1">
      <alignment wrapText="1"/>
    </xf>
    <xf numFmtId="44" fontId="48" fillId="0" borderId="0" xfId="9" applyNumberFormat="1" applyFont="1" applyAlignment="1">
      <alignment vertical="center" wrapText="1"/>
    </xf>
    <xf numFmtId="44" fontId="37" fillId="0" borderId="0" xfId="9" applyNumberFormat="1" applyFont="1" applyAlignment="1">
      <alignment vertical="center" wrapText="1"/>
    </xf>
    <xf numFmtId="44" fontId="48" fillId="0" borderId="52" xfId="9" applyNumberFormat="1" applyFont="1" applyBorder="1" applyAlignment="1">
      <alignment vertical="center" wrapText="1"/>
    </xf>
    <xf numFmtId="44" fontId="37" fillId="6" borderId="0" xfId="240" applyNumberFormat="1" applyFont="1" applyFill="1" applyAlignment="1">
      <alignment vertical="center" wrapText="1"/>
    </xf>
    <xf numFmtId="44" fontId="61" fillId="0" borderId="0" xfId="0" applyNumberFormat="1" applyFont="1" applyAlignment="1">
      <alignment horizontal="right"/>
    </xf>
    <xf numFmtId="44" fontId="4" fillId="0" borderId="0" xfId="0" applyNumberFormat="1" applyFont="1" applyAlignment="1">
      <alignment wrapText="1"/>
    </xf>
    <xf numFmtId="44" fontId="4" fillId="0" borderId="0" xfId="240" applyNumberFormat="1" applyAlignment="1">
      <alignment wrapText="1"/>
    </xf>
    <xf numFmtId="44" fontId="42" fillId="0" borderId="0" xfId="240" applyNumberFormat="1" applyFont="1" applyAlignment="1">
      <alignment wrapText="1"/>
    </xf>
    <xf numFmtId="44" fontId="42" fillId="0" borderId="0" xfId="0" applyNumberFormat="1" applyFont="1" applyAlignment="1">
      <alignment wrapText="1"/>
    </xf>
    <xf numFmtId="44" fontId="64" fillId="0" borderId="0" xfId="0" applyNumberFormat="1" applyFont="1" applyAlignment="1">
      <alignment horizontal="right"/>
    </xf>
    <xf numFmtId="44" fontId="42" fillId="0" borderId="52" xfId="240" applyNumberFormat="1" applyFont="1" applyBorder="1" applyAlignment="1">
      <alignment wrapText="1"/>
    </xf>
    <xf numFmtId="44" fontId="42" fillId="6" borderId="0" xfId="240" applyNumberFormat="1" applyFont="1" applyFill="1" applyAlignment="1">
      <alignment vertical="center" wrapText="1"/>
    </xf>
    <xf numFmtId="44" fontId="5" fillId="4" borderId="8" xfId="19" applyNumberFormat="1" applyFont="1" applyFill="1" applyBorder="1" applyAlignment="1" applyProtection="1">
      <alignment horizontal="right"/>
      <protection locked="0"/>
    </xf>
    <xf numFmtId="44" fontId="5" fillId="4" borderId="8" xfId="1" applyNumberFormat="1" applyFont="1" applyFill="1" applyBorder="1" applyAlignment="1" applyProtection="1">
      <alignment horizontal="right"/>
      <protection locked="0"/>
    </xf>
    <xf numFmtId="44" fontId="5" fillId="0" borderId="8" xfId="1" applyNumberFormat="1" applyFont="1" applyBorder="1" applyAlignment="1" applyProtection="1">
      <alignment horizontal="right"/>
      <protection locked="0"/>
    </xf>
    <xf numFmtId="44" fontId="61" fillId="0" borderId="0" xfId="0" applyNumberFormat="1" applyFont="1" applyAlignment="1" applyProtection="1">
      <alignment horizontal="right"/>
      <protection locked="0"/>
    </xf>
    <xf numFmtId="44" fontId="4" fillId="0" borderId="0" xfId="0" applyNumberFormat="1" applyFont="1" applyAlignment="1" applyProtection="1">
      <alignment wrapText="1"/>
      <protection locked="0"/>
    </xf>
    <xf numFmtId="44" fontId="4" fillId="0" borderId="0" xfId="240" applyNumberFormat="1" applyAlignment="1" applyProtection="1">
      <alignment wrapText="1"/>
      <protection locked="0"/>
    </xf>
    <xf numFmtId="44" fontId="42" fillId="0" borderId="0" xfId="240" applyNumberFormat="1" applyFont="1" applyAlignment="1" applyProtection="1">
      <alignment wrapText="1"/>
      <protection locked="0"/>
    </xf>
    <xf numFmtId="44" fontId="42" fillId="6" borderId="0" xfId="240" applyNumberFormat="1" applyFont="1" applyFill="1" applyAlignment="1" applyProtection="1">
      <alignment vertical="center" wrapText="1"/>
      <protection locked="0"/>
    </xf>
    <xf numFmtId="44" fontId="5" fillId="0" borderId="0" xfId="14" applyNumberFormat="1" applyFont="1" applyAlignment="1" applyProtection="1">
      <alignment wrapText="1"/>
      <protection locked="0"/>
    </xf>
    <xf numFmtId="44" fontId="5" fillId="0" borderId="0" xfId="14" applyNumberFormat="1" applyFont="1" applyAlignment="1" applyProtection="1">
      <alignment horizontal="right" wrapText="1"/>
      <protection locked="0"/>
    </xf>
    <xf numFmtId="44" fontId="5" fillId="0" borderId="0" xfId="209" applyNumberFormat="1" applyFont="1" applyAlignment="1" applyProtection="1">
      <alignment wrapText="1"/>
      <protection locked="0"/>
    </xf>
    <xf numFmtId="44" fontId="37" fillId="0" borderId="0" xfId="9" applyNumberFormat="1" applyFont="1" applyAlignment="1" applyProtection="1">
      <alignment wrapText="1"/>
      <protection locked="0"/>
    </xf>
    <xf numFmtId="44" fontId="5" fillId="0" borderId="0" xfId="9" applyNumberFormat="1" applyFont="1" applyAlignment="1" applyProtection="1">
      <alignment wrapText="1"/>
      <protection locked="0"/>
    </xf>
    <xf numFmtId="44" fontId="37" fillId="0" borderId="0" xfId="209" applyNumberFormat="1" applyFont="1" applyAlignment="1" applyProtection="1">
      <alignment wrapText="1"/>
      <protection locked="0"/>
    </xf>
    <xf numFmtId="44" fontId="37" fillId="0" borderId="0" xfId="240" applyNumberFormat="1" applyFont="1" applyAlignment="1" applyProtection="1">
      <alignment wrapText="1"/>
      <protection locked="0"/>
    </xf>
    <xf numFmtId="44" fontId="37" fillId="6" borderId="0" xfId="240" applyNumberFormat="1" applyFont="1" applyFill="1" applyAlignment="1" applyProtection="1">
      <alignment vertical="center" wrapText="1"/>
      <protection locked="0"/>
    </xf>
    <xf numFmtId="44" fontId="5" fillId="0" borderId="47" xfId="1" applyNumberFormat="1" applyFont="1" applyFill="1" applyBorder="1" applyAlignment="1" applyProtection="1">
      <alignment horizontal="right"/>
      <protection locked="0"/>
    </xf>
    <xf numFmtId="44" fontId="5" fillId="0" borderId="8" xfId="0" applyNumberFormat="1" applyFont="1" applyBorder="1" applyAlignment="1" applyProtection="1">
      <alignment horizontal="right"/>
      <protection locked="0"/>
    </xf>
    <xf numFmtId="44" fontId="5" fillId="0" borderId="18" xfId="0" applyNumberFormat="1" applyFont="1" applyBorder="1" applyAlignment="1" applyProtection="1">
      <alignment horizontal="right"/>
      <protection locked="0"/>
    </xf>
    <xf numFmtId="44" fontId="5" fillId="0" borderId="8" xfId="34" applyNumberFormat="1" applyFont="1" applyBorder="1" applyAlignment="1" applyProtection="1">
      <alignment horizontal="right"/>
      <protection locked="0"/>
    </xf>
    <xf numFmtId="44" fontId="5" fillId="0" borderId="8" xfId="216" applyNumberFormat="1" applyFont="1" applyBorder="1" applyAlignment="1" applyProtection="1">
      <alignment horizontal="right"/>
      <protection locked="0"/>
    </xf>
    <xf numFmtId="170" fontId="0" fillId="0" borderId="8" xfId="22" applyNumberFormat="1" applyFont="1" applyBorder="1" applyAlignment="1" applyProtection="1">
      <alignment horizontal="right"/>
      <protection locked="0"/>
    </xf>
    <xf numFmtId="44" fontId="5" fillId="0" borderId="18" xfId="1" applyNumberFormat="1" applyFont="1" applyFill="1" applyBorder="1" applyAlignment="1" applyProtection="1">
      <alignment horizontal="right"/>
      <protection locked="0"/>
    </xf>
    <xf numFmtId="44" fontId="5" fillId="0" borderId="8" xfId="1" applyNumberFormat="1" applyFont="1" applyFill="1" applyBorder="1" applyAlignment="1" applyProtection="1">
      <alignment horizontal="right"/>
      <protection locked="0"/>
    </xf>
    <xf numFmtId="44" fontId="5" fillId="0" borderId="47" xfId="0" applyNumberFormat="1" applyFont="1" applyBorder="1" applyAlignment="1" applyProtection="1">
      <alignment horizontal="right"/>
      <protection locked="0"/>
    </xf>
    <xf numFmtId="44" fontId="5" fillId="0" borderId="8" xfId="216" applyNumberFormat="1" applyFont="1" applyFill="1" applyBorder="1" applyAlignment="1" applyProtection="1">
      <alignment horizontal="right"/>
      <protection locked="0"/>
    </xf>
    <xf numFmtId="44" fontId="4" fillId="4" borderId="8" xfId="1" applyNumberFormat="1" applyFont="1" applyFill="1" applyBorder="1" applyAlignment="1" applyProtection="1">
      <alignment horizontal="right"/>
      <protection locked="0"/>
    </xf>
    <xf numFmtId="44" fontId="5" fillId="8" borderId="2" xfId="0" applyNumberFormat="1" applyFont="1" applyFill="1" applyBorder="1" applyAlignment="1" applyProtection="1">
      <alignment horizontal="right"/>
      <protection locked="0"/>
    </xf>
    <xf numFmtId="44" fontId="37" fillId="3" borderId="29" xfId="1" applyNumberFormat="1" applyFont="1" applyFill="1" applyBorder="1" applyAlignment="1" applyProtection="1">
      <alignment horizontal="right"/>
      <protection locked="0"/>
    </xf>
    <xf numFmtId="44" fontId="37" fillId="5" borderId="2" xfId="1" applyNumberFormat="1" applyFont="1" applyFill="1" applyBorder="1" applyAlignment="1" applyProtection="1">
      <alignment horizontal="right"/>
      <protection locked="0"/>
    </xf>
    <xf numFmtId="44" fontId="37" fillId="4" borderId="35" xfId="1" applyNumberFormat="1" applyFont="1" applyFill="1" applyBorder="1" applyAlignment="1" applyProtection="1">
      <alignment horizontal="right"/>
      <protection locked="0"/>
    </xf>
    <xf numFmtId="44" fontId="5" fillId="7" borderId="2" xfId="1" applyNumberFormat="1" applyFont="1" applyFill="1" applyBorder="1" applyAlignment="1" applyProtection="1">
      <alignment horizontal="right"/>
      <protection locked="0"/>
    </xf>
    <xf numFmtId="44" fontId="5" fillId="0" borderId="18" xfId="1" applyNumberFormat="1" applyFont="1" applyBorder="1" applyAlignment="1" applyProtection="1">
      <alignment horizontal="right"/>
      <protection locked="0"/>
    </xf>
    <xf numFmtId="44" fontId="37" fillId="6" borderId="2" xfId="1" applyNumberFormat="1" applyFont="1" applyFill="1" applyBorder="1" applyAlignment="1" applyProtection="1">
      <alignment horizontal="right"/>
      <protection locked="0"/>
    </xf>
    <xf numFmtId="44" fontId="5" fillId="0" borderId="45" xfId="0" applyNumberFormat="1" applyFont="1" applyBorder="1" applyAlignment="1" applyProtection="1">
      <alignment horizontal="right"/>
      <protection locked="0"/>
    </xf>
    <xf numFmtId="44" fontId="5" fillId="0" borderId="34" xfId="1" applyNumberFormat="1" applyFont="1" applyBorder="1" applyAlignment="1" applyProtection="1">
      <alignment horizontal="right"/>
      <protection locked="0"/>
    </xf>
    <xf numFmtId="44" fontId="6" fillId="0" borderId="14" xfId="0" applyNumberFormat="1" applyFont="1" applyBorder="1"/>
    <xf numFmtId="0" fontId="41" fillId="0" borderId="13" xfId="0" applyFont="1" applyBorder="1"/>
    <xf numFmtId="2" fontId="41" fillId="0" borderId="13" xfId="0" applyNumberFormat="1" applyFont="1" applyBorder="1" applyAlignment="1">
      <alignment horizontal="center"/>
    </xf>
    <xf numFmtId="0" fontId="41" fillId="0" borderId="13" xfId="0" applyFont="1" applyBorder="1" applyAlignment="1">
      <alignment horizontal="center"/>
    </xf>
    <xf numFmtId="0" fontId="6" fillId="0" borderId="13" xfId="0" applyFont="1" applyBorder="1"/>
    <xf numFmtId="0" fontId="6" fillId="0" borderId="12" xfId="0" applyFont="1" applyBorder="1" applyAlignment="1">
      <alignment horizontal="center"/>
    </xf>
    <xf numFmtId="44" fontId="49" fillId="0" borderId="0" xfId="0" applyNumberFormat="1" applyFont="1" applyProtection="1">
      <protection locked="0"/>
    </xf>
    <xf numFmtId="44" fontId="49" fillId="0" borderId="0" xfId="0" applyNumberFormat="1" applyFont="1" applyAlignment="1" applyProtection="1">
      <alignment vertical="center"/>
      <protection locked="0"/>
    </xf>
    <xf numFmtId="44" fontId="49" fillId="0" borderId="53" xfId="0" applyNumberFormat="1" applyFont="1" applyBorder="1" applyAlignment="1" applyProtection="1">
      <alignment vertical="center"/>
      <protection locked="0"/>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40" fillId="0" borderId="6" xfId="6"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0" fillId="0" borderId="6" xfId="9" applyFont="1" applyBorder="1" applyAlignment="1">
      <alignment horizontal="left" vertical="center" wrapText="1"/>
    </xf>
  </cellXfs>
  <cellStyles count="242">
    <cellStyle name="20 % – Poudarek1 2" xfId="35" xr:uid="{00000000-0005-0000-0000-000000000000}"/>
    <cellStyle name="20 % – Poudarek2 2" xfId="36" xr:uid="{00000000-0005-0000-0000-000001000000}"/>
    <cellStyle name="20 % – Poudarek3 2" xfId="37" xr:uid="{00000000-0005-0000-0000-000002000000}"/>
    <cellStyle name="20 % – Poudarek4 2" xfId="38" xr:uid="{00000000-0005-0000-0000-000003000000}"/>
    <cellStyle name="20 % – Poudarek5 2" xfId="39" xr:uid="{00000000-0005-0000-0000-000004000000}"/>
    <cellStyle name="20 % – Poudarek6 2" xfId="40" xr:uid="{00000000-0005-0000-0000-000005000000}"/>
    <cellStyle name="40 % – Poudarek1 2" xfId="41" xr:uid="{00000000-0005-0000-0000-000006000000}"/>
    <cellStyle name="40 % – Poudarek2 2" xfId="42" xr:uid="{00000000-0005-0000-0000-000007000000}"/>
    <cellStyle name="40 % – Poudarek3 2" xfId="43" xr:uid="{00000000-0005-0000-0000-000008000000}"/>
    <cellStyle name="40 % – Poudarek4 2" xfId="44" xr:uid="{00000000-0005-0000-0000-000009000000}"/>
    <cellStyle name="40 % – Poudarek5 2" xfId="45" xr:uid="{00000000-0005-0000-0000-00000A000000}"/>
    <cellStyle name="40 % – Poudarek6 2" xfId="46" xr:uid="{00000000-0005-0000-0000-00000B000000}"/>
    <cellStyle name="60 % – Poudarek1 2" xfId="47" xr:uid="{00000000-0005-0000-0000-00000C000000}"/>
    <cellStyle name="60 % – Poudarek2 2" xfId="48" xr:uid="{00000000-0005-0000-0000-00000D000000}"/>
    <cellStyle name="60 % – Poudarek3 2" xfId="49" xr:uid="{00000000-0005-0000-0000-00000E000000}"/>
    <cellStyle name="60 % – Poudarek4 2" xfId="50" xr:uid="{00000000-0005-0000-0000-00000F000000}"/>
    <cellStyle name="60 % – Poudarek5 2" xfId="51" xr:uid="{00000000-0005-0000-0000-000010000000}"/>
    <cellStyle name="60 % – Poudarek6 2" xfId="52" xr:uid="{00000000-0005-0000-0000-000011000000}"/>
    <cellStyle name="Dobro 2" xfId="53" xr:uid="{00000000-0005-0000-0000-000012000000}"/>
    <cellStyle name="Izhod 2" xfId="54" xr:uid="{00000000-0005-0000-0000-000013000000}"/>
    <cellStyle name="Naslov 1 2" xfId="56" xr:uid="{00000000-0005-0000-0000-000014000000}"/>
    <cellStyle name="Naslov 2 2" xfId="57" xr:uid="{00000000-0005-0000-0000-000015000000}"/>
    <cellStyle name="Naslov 3 2" xfId="58" xr:uid="{00000000-0005-0000-0000-000016000000}"/>
    <cellStyle name="Naslov 4 2" xfId="59" xr:uid="{00000000-0005-0000-0000-000017000000}"/>
    <cellStyle name="Naslov 5" xfId="55" xr:uid="{00000000-0005-0000-0000-000018000000}"/>
    <cellStyle name="Navadno" xfId="0" builtinId="0"/>
    <cellStyle name="Navadno 10" xfId="20" xr:uid="{00000000-0005-0000-0000-00001A000000}"/>
    <cellStyle name="Navadno 10 2" xfId="24" xr:uid="{00000000-0005-0000-0000-00001B000000}"/>
    <cellStyle name="Navadno 10 2 2" xfId="97" xr:uid="{00000000-0005-0000-0000-00001C000000}"/>
    <cellStyle name="Navadno 10 2 3" xfId="192" xr:uid="{00000000-0005-0000-0000-00001D000000}"/>
    <cellStyle name="Navadno 10 3" xfId="79" xr:uid="{00000000-0005-0000-0000-00001E000000}"/>
    <cellStyle name="Navadno 10 3 2" xfId="90" xr:uid="{00000000-0005-0000-0000-00001F000000}"/>
    <cellStyle name="Navadno 10 3 2 2" xfId="98" xr:uid="{00000000-0005-0000-0000-000020000000}"/>
    <cellStyle name="Navadno 10 3 2 3" xfId="99" xr:uid="{00000000-0005-0000-0000-000021000000}"/>
    <cellStyle name="Navadno 10 3 2 4" xfId="202" xr:uid="{00000000-0005-0000-0000-000022000000}"/>
    <cellStyle name="Navadno 10 3 3" xfId="100" xr:uid="{00000000-0005-0000-0000-000023000000}"/>
    <cellStyle name="Navadno 10 4" xfId="78" xr:uid="{00000000-0005-0000-0000-000024000000}"/>
    <cellStyle name="Navadno 10 5" xfId="101" xr:uid="{00000000-0005-0000-0000-000025000000}"/>
    <cellStyle name="Navadno 10 6" xfId="213" xr:uid="{00000000-0005-0000-0000-000026000000}"/>
    <cellStyle name="Navadno 10 7" xfId="218" xr:uid="{00000000-0005-0000-0000-000027000000}"/>
    <cellStyle name="Navadno 11" xfId="32" xr:uid="{00000000-0005-0000-0000-000028000000}"/>
    <cellStyle name="Navadno 11 2" xfId="33" xr:uid="{00000000-0005-0000-0000-000029000000}"/>
    <cellStyle name="Navadno 11 3" xfId="88" xr:uid="{00000000-0005-0000-0000-00002A000000}"/>
    <cellStyle name="Navadno 11 4" xfId="87" xr:uid="{00000000-0005-0000-0000-00002B000000}"/>
    <cellStyle name="Navadno 11 4 2" xfId="92" xr:uid="{00000000-0005-0000-0000-00002C000000}"/>
    <cellStyle name="Navadno 11 4 3" xfId="102" xr:uid="{00000000-0005-0000-0000-00002D000000}"/>
    <cellStyle name="Navadno 11 4 4" xfId="103" xr:uid="{00000000-0005-0000-0000-00002E000000}"/>
    <cellStyle name="Navadno 12" xfId="34" xr:uid="{00000000-0005-0000-0000-00002F000000}"/>
    <cellStyle name="Navadno 12 2" xfId="89" xr:uid="{00000000-0005-0000-0000-000030000000}"/>
    <cellStyle name="Navadno 12 2 2" xfId="104" xr:uid="{00000000-0005-0000-0000-000031000000}"/>
    <cellStyle name="Navadno 12 2 3" xfId="105" xr:uid="{00000000-0005-0000-0000-000032000000}"/>
    <cellStyle name="Navadno 13" xfId="94" xr:uid="{00000000-0005-0000-0000-000033000000}"/>
    <cellStyle name="Navadno 13 2" xfId="107" xr:uid="{00000000-0005-0000-0000-000034000000}"/>
    <cellStyle name="Navadno 13 3" xfId="108" xr:uid="{00000000-0005-0000-0000-000035000000}"/>
    <cellStyle name="Navadno 13 4" xfId="109" xr:uid="{00000000-0005-0000-0000-000036000000}"/>
    <cellStyle name="Navadno 13 5" xfId="110" xr:uid="{00000000-0005-0000-0000-000037000000}"/>
    <cellStyle name="Navadno 13 6" xfId="106" xr:uid="{00000000-0005-0000-0000-000038000000}"/>
    <cellStyle name="Navadno 14" xfId="93" xr:uid="{00000000-0005-0000-0000-000039000000}"/>
    <cellStyle name="Navadno 14 10" xfId="111" xr:uid="{00000000-0005-0000-0000-00003A000000}"/>
    <cellStyle name="Navadno 14 11" xfId="217" xr:uid="{00000000-0005-0000-0000-00003B000000}"/>
    <cellStyle name="Navadno 14 2" xfId="112" xr:uid="{00000000-0005-0000-0000-00003C000000}"/>
    <cellStyle name="Navadno 14 2 2" xfId="113" xr:uid="{00000000-0005-0000-0000-00003D000000}"/>
    <cellStyle name="Navadno 14 2 2 2" xfId="114" xr:uid="{00000000-0005-0000-0000-00003E000000}"/>
    <cellStyle name="Navadno 14 2 2 2 2" xfId="229" xr:uid="{00000000-0005-0000-0000-00003F000000}"/>
    <cellStyle name="Navadno 14 2 2 3" xfId="230" xr:uid="{00000000-0005-0000-0000-000040000000}"/>
    <cellStyle name="Navadno 14 2 3" xfId="115" xr:uid="{00000000-0005-0000-0000-000041000000}"/>
    <cellStyle name="Navadno 14 2 3 2" xfId="225" xr:uid="{00000000-0005-0000-0000-000042000000}"/>
    <cellStyle name="Navadno 14 2 4" xfId="116" xr:uid="{00000000-0005-0000-0000-000043000000}"/>
    <cellStyle name="Navadno 14 2 4 2" xfId="227" xr:uid="{00000000-0005-0000-0000-000044000000}"/>
    <cellStyle name="Navadno 14 2 5" xfId="231" xr:uid="{00000000-0005-0000-0000-000045000000}"/>
    <cellStyle name="Navadno 14 3" xfId="117" xr:uid="{00000000-0005-0000-0000-000046000000}"/>
    <cellStyle name="Navadno 14 3 2" xfId="118" xr:uid="{00000000-0005-0000-0000-000047000000}"/>
    <cellStyle name="Navadno 14 3 2 2" xfId="228" xr:uid="{00000000-0005-0000-0000-000048000000}"/>
    <cellStyle name="Navadno 14 3 3" xfId="223" xr:uid="{00000000-0005-0000-0000-000049000000}"/>
    <cellStyle name="Navadno 14 4" xfId="119" xr:uid="{00000000-0005-0000-0000-00004A000000}"/>
    <cellStyle name="Navadno 14 4 2" xfId="224" xr:uid="{00000000-0005-0000-0000-00004B000000}"/>
    <cellStyle name="Navadno 14 5" xfId="120" xr:uid="{00000000-0005-0000-0000-00004C000000}"/>
    <cellStyle name="Navadno 14 5 2" xfId="222" xr:uid="{00000000-0005-0000-0000-00004D000000}"/>
    <cellStyle name="Navadno 14 6" xfId="121" xr:uid="{00000000-0005-0000-0000-00004E000000}"/>
    <cellStyle name="Navadno 14 6 2" xfId="226" xr:uid="{00000000-0005-0000-0000-00004F000000}"/>
    <cellStyle name="Navadno 14 7" xfId="203" xr:uid="{00000000-0005-0000-0000-000050000000}"/>
    <cellStyle name="Navadno 14 7 2" xfId="232" xr:uid="{00000000-0005-0000-0000-000051000000}"/>
    <cellStyle name="Navadno 14 8" xfId="205" xr:uid="{00000000-0005-0000-0000-000052000000}"/>
    <cellStyle name="Navadno 14 8 2" xfId="233" xr:uid="{00000000-0005-0000-0000-000053000000}"/>
    <cellStyle name="Navadno 14 9" xfId="206" xr:uid="{00000000-0005-0000-0000-000054000000}"/>
    <cellStyle name="Navadno 14 9 2" xfId="234" xr:uid="{00000000-0005-0000-0000-000055000000}"/>
    <cellStyle name="Navadno 15" xfId="212" xr:uid="{00000000-0005-0000-0000-000056000000}"/>
    <cellStyle name="Navadno 15 2" xfId="219" xr:uid="{00000000-0005-0000-0000-000057000000}"/>
    <cellStyle name="Navadno 16" xfId="211" xr:uid="{00000000-0005-0000-0000-000058000000}"/>
    <cellStyle name="Navadno 16 2" xfId="210" xr:uid="{00000000-0005-0000-0000-000059000000}"/>
    <cellStyle name="Navadno 2" xfId="2" xr:uid="{00000000-0005-0000-0000-00005A000000}"/>
    <cellStyle name="Navadno 2 10" xfId="214" xr:uid="{00000000-0005-0000-0000-00005B000000}"/>
    <cellStyle name="Navadno 2 2" xfId="3" xr:uid="{00000000-0005-0000-0000-00005C000000}"/>
    <cellStyle name="Navadno 2 2 2" xfId="122" xr:uid="{00000000-0005-0000-0000-00005D000000}"/>
    <cellStyle name="Navadno 2 2 3" xfId="174" xr:uid="{00000000-0005-0000-0000-00005E000000}"/>
    <cellStyle name="Navadno 2 3" xfId="4" xr:uid="{00000000-0005-0000-0000-00005F000000}"/>
    <cellStyle name="Navadno 2 3 2" xfId="123" xr:uid="{00000000-0005-0000-0000-000060000000}"/>
    <cellStyle name="Navadno 2 3 3" xfId="175" xr:uid="{00000000-0005-0000-0000-000061000000}"/>
    <cellStyle name="Navadno 2 4" xfId="5" xr:uid="{00000000-0005-0000-0000-000062000000}"/>
    <cellStyle name="Navadno 2 4 2" xfId="124" xr:uid="{00000000-0005-0000-0000-000063000000}"/>
    <cellStyle name="Navadno 2 4 3" xfId="176" xr:uid="{00000000-0005-0000-0000-000064000000}"/>
    <cellStyle name="Navadno 2 5" xfId="6" xr:uid="{00000000-0005-0000-0000-000065000000}"/>
    <cellStyle name="Navadno 2 5 2" xfId="125" xr:uid="{00000000-0005-0000-0000-000066000000}"/>
    <cellStyle name="Navadno 2 5 3" xfId="177" xr:uid="{00000000-0005-0000-0000-000067000000}"/>
    <cellStyle name="Navadno 2 6" xfId="81" xr:uid="{00000000-0005-0000-0000-000068000000}"/>
    <cellStyle name="Navadno 2 6 2" xfId="126" xr:uid="{00000000-0005-0000-0000-000069000000}"/>
    <cellStyle name="Navadno 2 7" xfId="127" xr:uid="{00000000-0005-0000-0000-00006A000000}"/>
    <cellStyle name="Navadno 2 8" xfId="128" xr:uid="{00000000-0005-0000-0000-00006B000000}"/>
    <cellStyle name="Navadno 2 9" xfId="173" xr:uid="{00000000-0005-0000-0000-00006C000000}"/>
    <cellStyle name="Navadno 3" xfId="7" xr:uid="{00000000-0005-0000-0000-00006D000000}"/>
    <cellStyle name="Navadno 3 2" xfId="8" xr:uid="{00000000-0005-0000-0000-00006E000000}"/>
    <cellStyle name="Navadno 3 2 2" xfId="129" xr:uid="{00000000-0005-0000-0000-00006F000000}"/>
    <cellStyle name="Navadno 3 2 3" xfId="179" xr:uid="{00000000-0005-0000-0000-000070000000}"/>
    <cellStyle name="Navadno 3 3" xfId="25" xr:uid="{00000000-0005-0000-0000-000071000000}"/>
    <cellStyle name="Navadno 3 3 2" xfId="130" xr:uid="{00000000-0005-0000-0000-000072000000}"/>
    <cellStyle name="Navadno 3 3 3" xfId="193" xr:uid="{00000000-0005-0000-0000-000073000000}"/>
    <cellStyle name="Navadno 3 4" xfId="82" xr:uid="{00000000-0005-0000-0000-000074000000}"/>
    <cellStyle name="Navadno 3 5" xfId="131" xr:uid="{00000000-0005-0000-0000-000075000000}"/>
    <cellStyle name="Navadno 3 6" xfId="178" xr:uid="{00000000-0005-0000-0000-000076000000}"/>
    <cellStyle name="Navadno 3 7" xfId="209" xr:uid="{00000000-0005-0000-0000-000077000000}"/>
    <cellStyle name="Navadno 4" xfId="9" xr:uid="{00000000-0005-0000-0000-000078000000}"/>
    <cellStyle name="Navadno 4 2" xfId="10" xr:uid="{00000000-0005-0000-0000-000079000000}"/>
    <cellStyle name="Navadno 4 2 2" xfId="132" xr:uid="{00000000-0005-0000-0000-00007A000000}"/>
    <cellStyle name="Navadno 4 2 3" xfId="181" xr:uid="{00000000-0005-0000-0000-00007B000000}"/>
    <cellStyle name="Navadno 4 2 4" xfId="208" xr:uid="{00000000-0005-0000-0000-00007C000000}"/>
    <cellStyle name="Navadno 4 3" xfId="26" xr:uid="{00000000-0005-0000-0000-00007D000000}"/>
    <cellStyle name="Navadno 4 3 2" xfId="133" xr:uid="{00000000-0005-0000-0000-00007E000000}"/>
    <cellStyle name="Navadno 4 3 3" xfId="194" xr:uid="{00000000-0005-0000-0000-00007F000000}"/>
    <cellStyle name="Navadno 4 3 4" xfId="207" xr:uid="{00000000-0005-0000-0000-000080000000}"/>
    <cellStyle name="Navadno 4 4" xfId="134" xr:uid="{00000000-0005-0000-0000-000081000000}"/>
    <cellStyle name="Navadno 4 5" xfId="180" xr:uid="{00000000-0005-0000-0000-000082000000}"/>
    <cellStyle name="Navadno 5" xfId="11" xr:uid="{00000000-0005-0000-0000-000083000000}"/>
    <cellStyle name="Navadno 5 2" xfId="27" xr:uid="{00000000-0005-0000-0000-000084000000}"/>
    <cellStyle name="Navadno 5 2 2" xfId="135" xr:uid="{00000000-0005-0000-0000-000085000000}"/>
    <cellStyle name="Navadno 5 2 3" xfId="195" xr:uid="{00000000-0005-0000-0000-000086000000}"/>
    <cellStyle name="Navadno 5 3" xfId="83" xr:uid="{00000000-0005-0000-0000-000087000000}"/>
    <cellStyle name="Navadno 5 4" xfId="136" xr:uid="{00000000-0005-0000-0000-000088000000}"/>
    <cellStyle name="Navadno 5 5" xfId="182" xr:uid="{00000000-0005-0000-0000-000089000000}"/>
    <cellStyle name="Navadno 6" xfId="12" xr:uid="{00000000-0005-0000-0000-00008A000000}"/>
    <cellStyle name="Navadno 6 2" xfId="13" xr:uid="{00000000-0005-0000-0000-00008B000000}"/>
    <cellStyle name="Navadno 6 2 2" xfId="137" xr:uid="{00000000-0005-0000-0000-00008C000000}"/>
    <cellStyle name="Navadno 6 2 3" xfId="184" xr:uid="{00000000-0005-0000-0000-00008D000000}"/>
    <cellStyle name="Navadno 6 3" xfId="28" xr:uid="{00000000-0005-0000-0000-00008E000000}"/>
    <cellStyle name="Navadno 6 3 2" xfId="138" xr:uid="{00000000-0005-0000-0000-00008F000000}"/>
    <cellStyle name="Navadno 6 3 3" xfId="196" xr:uid="{00000000-0005-0000-0000-000090000000}"/>
    <cellStyle name="Navadno 6 4" xfId="84" xr:uid="{00000000-0005-0000-0000-000091000000}"/>
    <cellStyle name="Navadno 6 5" xfId="139" xr:uid="{00000000-0005-0000-0000-000092000000}"/>
    <cellStyle name="Navadno 6 6" xfId="183" xr:uid="{00000000-0005-0000-0000-000093000000}"/>
    <cellStyle name="Navadno 7" xfId="14" xr:uid="{00000000-0005-0000-0000-000094000000}"/>
    <cellStyle name="Navadno 7 2" xfId="140" xr:uid="{00000000-0005-0000-0000-000095000000}"/>
    <cellStyle name="Navadno 7 3" xfId="185" xr:uid="{00000000-0005-0000-0000-000096000000}"/>
    <cellStyle name="Navadno 8" xfId="15" xr:uid="{00000000-0005-0000-0000-000097000000}"/>
    <cellStyle name="Navadno 8 2" xfId="141" xr:uid="{00000000-0005-0000-0000-000098000000}"/>
    <cellStyle name="Navadno 8 3" xfId="186" xr:uid="{00000000-0005-0000-0000-000099000000}"/>
    <cellStyle name="Navadno 9" xfId="16" xr:uid="{00000000-0005-0000-0000-00009A000000}"/>
    <cellStyle name="Navadno 9 2" xfId="142" xr:uid="{00000000-0005-0000-0000-00009B000000}"/>
    <cellStyle name="Navadno 9 3" xfId="187" xr:uid="{00000000-0005-0000-0000-00009C000000}"/>
    <cellStyle name="Navadno_Energetika" xfId="237" xr:uid="{00000000-0005-0000-0000-00009D000000}"/>
    <cellStyle name="Navadno_Popis_LENA_LEVEC_PGD" xfId="238" xr:uid="{00000000-0005-0000-0000-00009E000000}"/>
    <cellStyle name="Navadno_POPISSIBKI_V2 2" xfId="239" xr:uid="{00000000-0005-0000-0000-00009F000000}"/>
    <cellStyle name="Navadno_Prazen popis1" xfId="236" xr:uid="{00000000-0005-0000-0000-0000A0000000}"/>
    <cellStyle name="Navadno_Prazen popis1 2" xfId="240" xr:uid="{00000000-0005-0000-0000-0000A1000000}"/>
    <cellStyle name="Navadno_TUS_Planet popis 2" xfId="235" xr:uid="{00000000-0005-0000-0000-0000A2000000}"/>
    <cellStyle name="Nevtralno 2" xfId="60" xr:uid="{00000000-0005-0000-0000-0000A3000000}"/>
    <cellStyle name="Normal_1.3.2" xfId="241" xr:uid="{00000000-0005-0000-0000-0000A4000000}"/>
    <cellStyle name="Odstotek 2" xfId="143" xr:uid="{00000000-0005-0000-0000-0000A5000000}"/>
    <cellStyle name="Odstotek 3" xfId="85" xr:uid="{00000000-0005-0000-0000-0000A6000000}"/>
    <cellStyle name="Odstotek 3 2" xfId="144" xr:uid="{00000000-0005-0000-0000-0000A7000000}"/>
    <cellStyle name="Odstotek 3 3" xfId="201" xr:uid="{00000000-0005-0000-0000-0000A8000000}"/>
    <cellStyle name="Opomba 2" xfId="61" xr:uid="{00000000-0005-0000-0000-0000A9000000}"/>
    <cellStyle name="Opomba 3" xfId="145" xr:uid="{00000000-0005-0000-0000-0000AA000000}"/>
    <cellStyle name="Opozorilo 2" xfId="62" xr:uid="{00000000-0005-0000-0000-0000AB000000}"/>
    <cellStyle name="Pojasnjevalno besedilo 2" xfId="63" xr:uid="{00000000-0005-0000-0000-0000AC000000}"/>
    <cellStyle name="Poudarek1 2" xfId="64" xr:uid="{00000000-0005-0000-0000-0000AD000000}"/>
    <cellStyle name="Poudarek2 2" xfId="65" xr:uid="{00000000-0005-0000-0000-0000AE000000}"/>
    <cellStyle name="Poudarek3 2" xfId="66" xr:uid="{00000000-0005-0000-0000-0000AF000000}"/>
    <cellStyle name="Poudarek4 2" xfId="67" xr:uid="{00000000-0005-0000-0000-0000B0000000}"/>
    <cellStyle name="Poudarek5 2" xfId="68" xr:uid="{00000000-0005-0000-0000-0000B1000000}"/>
    <cellStyle name="Poudarek6 2" xfId="69" xr:uid="{00000000-0005-0000-0000-0000B2000000}"/>
    <cellStyle name="Povezana celica 2" xfId="70" xr:uid="{00000000-0005-0000-0000-0000B3000000}"/>
    <cellStyle name="Preveri celico 2" xfId="71" xr:uid="{00000000-0005-0000-0000-0000B4000000}"/>
    <cellStyle name="Računanje 2" xfId="72" xr:uid="{00000000-0005-0000-0000-0000B5000000}"/>
    <cellStyle name="Slabo 2" xfId="73" xr:uid="{00000000-0005-0000-0000-0000B6000000}"/>
    <cellStyle name="Slog 1" xfId="74" xr:uid="{00000000-0005-0000-0000-0000B7000000}"/>
    <cellStyle name="Valuta" xfId="1" builtinId="4"/>
    <cellStyle name="Valuta 10" xfId="216" xr:uid="{00000000-0005-0000-0000-0000B9000000}"/>
    <cellStyle name="Valuta 11" xfId="215" xr:uid="{00000000-0005-0000-0000-0000BA000000}"/>
    <cellStyle name="Valuta 12" xfId="221" xr:uid="{00000000-0005-0000-0000-0000BB000000}"/>
    <cellStyle name="Valuta 2" xfId="17" xr:uid="{00000000-0005-0000-0000-0000BC000000}"/>
    <cellStyle name="Valuta 2 10" xfId="188" xr:uid="{00000000-0005-0000-0000-0000BD000000}"/>
    <cellStyle name="Valuta 2 2" xfId="30" xr:uid="{00000000-0005-0000-0000-0000BE000000}"/>
    <cellStyle name="Valuta 2 2 2" xfId="146" xr:uid="{00000000-0005-0000-0000-0000BF000000}"/>
    <cellStyle name="Valuta 2 2 2 2" xfId="147" xr:uid="{00000000-0005-0000-0000-0000C0000000}"/>
    <cellStyle name="Valuta 2 2 3" xfId="198" xr:uid="{00000000-0005-0000-0000-0000C1000000}"/>
    <cellStyle name="Valuta 2 3" xfId="148" xr:uid="{00000000-0005-0000-0000-0000C2000000}"/>
    <cellStyle name="Valuta 2 3 2" xfId="149" xr:uid="{00000000-0005-0000-0000-0000C3000000}"/>
    <cellStyle name="Valuta 2 4" xfId="150" xr:uid="{00000000-0005-0000-0000-0000C4000000}"/>
    <cellStyle name="Valuta 2 5" xfId="151" xr:uid="{00000000-0005-0000-0000-0000C5000000}"/>
    <cellStyle name="Valuta 2 6" xfId="152" xr:uid="{00000000-0005-0000-0000-0000C6000000}"/>
    <cellStyle name="Valuta 2 7" xfId="153" xr:uid="{00000000-0005-0000-0000-0000C7000000}"/>
    <cellStyle name="Valuta 2 8" xfId="154" xr:uid="{00000000-0005-0000-0000-0000C8000000}"/>
    <cellStyle name="Valuta 2 9" xfId="155" xr:uid="{00000000-0005-0000-0000-0000C9000000}"/>
    <cellStyle name="Valuta 3" xfId="18" xr:uid="{00000000-0005-0000-0000-0000CA000000}"/>
    <cellStyle name="Valuta 3 2" xfId="31" xr:uid="{00000000-0005-0000-0000-0000CB000000}"/>
    <cellStyle name="Valuta 3 2 2" xfId="156" xr:uid="{00000000-0005-0000-0000-0000CC000000}"/>
    <cellStyle name="Valuta 3 2 3" xfId="199" xr:uid="{00000000-0005-0000-0000-0000CD000000}"/>
    <cellStyle name="Valuta 3 3" xfId="157" xr:uid="{00000000-0005-0000-0000-0000CE000000}"/>
    <cellStyle name="Valuta 3 4" xfId="189" xr:uid="{00000000-0005-0000-0000-0000CF000000}"/>
    <cellStyle name="Valuta 3 5" xfId="96" xr:uid="{00000000-0005-0000-0000-0000D0000000}"/>
    <cellStyle name="Valuta 3 6" xfId="220" xr:uid="{00000000-0005-0000-0000-0000D1000000}"/>
    <cellStyle name="Valuta 4" xfId="19" xr:uid="{00000000-0005-0000-0000-0000D2000000}"/>
    <cellStyle name="Valuta 4 2" xfId="22" xr:uid="{00000000-0005-0000-0000-0000D3000000}"/>
    <cellStyle name="Valuta 4 2 2" xfId="91" xr:uid="{00000000-0005-0000-0000-0000D4000000}"/>
    <cellStyle name="Valuta 4 2 2 2" xfId="158" xr:uid="{00000000-0005-0000-0000-0000D5000000}"/>
    <cellStyle name="Valuta 4 2 2 2 2" xfId="159" xr:uid="{00000000-0005-0000-0000-0000D6000000}"/>
    <cellStyle name="Valuta 4 2 3" xfId="160" xr:uid="{00000000-0005-0000-0000-0000D7000000}"/>
    <cellStyle name="Valuta 4 3" xfId="77" xr:uid="{00000000-0005-0000-0000-0000D8000000}"/>
    <cellStyle name="Valuta 4 3 2" xfId="80" xr:uid="{00000000-0005-0000-0000-0000D9000000}"/>
    <cellStyle name="Valuta 4 3 2 2" xfId="161" xr:uid="{00000000-0005-0000-0000-0000DA000000}"/>
    <cellStyle name="Valuta 4 3 2 3" xfId="200" xr:uid="{00000000-0005-0000-0000-0000DB000000}"/>
    <cellStyle name="Valuta 4 3 3" xfId="162" xr:uid="{00000000-0005-0000-0000-0000DC000000}"/>
    <cellStyle name="Valuta 4 3 3 2" xfId="163" xr:uid="{00000000-0005-0000-0000-0000DD000000}"/>
    <cellStyle name="Valuta 4 3 4" xfId="164" xr:uid="{00000000-0005-0000-0000-0000DE000000}"/>
    <cellStyle name="Valuta 4 4" xfId="165" xr:uid="{00000000-0005-0000-0000-0000DF000000}"/>
    <cellStyle name="Valuta 4 4 2" xfId="166" xr:uid="{00000000-0005-0000-0000-0000E0000000}"/>
    <cellStyle name="Valuta 4 5" xfId="167" xr:uid="{00000000-0005-0000-0000-0000E1000000}"/>
    <cellStyle name="Valuta 5" xfId="23" xr:uid="{00000000-0005-0000-0000-0000E2000000}"/>
    <cellStyle name="Valuta 5 2" xfId="168" xr:uid="{00000000-0005-0000-0000-0000E3000000}"/>
    <cellStyle name="Valuta 5 3" xfId="191" xr:uid="{00000000-0005-0000-0000-0000E4000000}"/>
    <cellStyle name="Valuta 6" xfId="95" xr:uid="{00000000-0005-0000-0000-0000E5000000}"/>
    <cellStyle name="Valuta 6 2" xfId="204" xr:uid="{00000000-0005-0000-0000-0000E6000000}"/>
    <cellStyle name="Valuta 7" xfId="169" xr:uid="{00000000-0005-0000-0000-0000E7000000}"/>
    <cellStyle name="Valuta 8" xfId="170" xr:uid="{00000000-0005-0000-0000-0000E8000000}"/>
    <cellStyle name="Valuta 9" xfId="29" xr:uid="{00000000-0005-0000-0000-0000E9000000}"/>
    <cellStyle name="Valuta 9 2" xfId="171" xr:uid="{00000000-0005-0000-0000-0000EA000000}"/>
    <cellStyle name="Valuta 9 3" xfId="197" xr:uid="{00000000-0005-0000-0000-0000EB000000}"/>
    <cellStyle name="Vejica 2" xfId="21" xr:uid="{00000000-0005-0000-0000-0000EC000000}"/>
    <cellStyle name="Vejica 2 2" xfId="86" xr:uid="{00000000-0005-0000-0000-0000ED000000}"/>
    <cellStyle name="Vejica 2 3" xfId="172" xr:uid="{00000000-0005-0000-0000-0000EE000000}"/>
    <cellStyle name="Vejica 2 4" xfId="190" xr:uid="{00000000-0005-0000-0000-0000EF000000}"/>
    <cellStyle name="Vnos 2" xfId="75" xr:uid="{00000000-0005-0000-0000-0000F0000000}"/>
    <cellStyle name="Vsota 2" xfId="76" xr:uid="{00000000-0005-0000-0000-0000F1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2238375</xdr:colOff>
      <xdr:row>0</xdr:row>
      <xdr:rowOff>0</xdr:rowOff>
    </xdr:from>
    <xdr:ext cx="184731" cy="264560"/>
    <xdr:sp macro="" textlink="">
      <xdr:nvSpPr>
        <xdr:cNvPr id="2" name="PoljeZBesedilom 1">
          <a:extLst>
            <a:ext uri="{FF2B5EF4-FFF2-40B4-BE49-F238E27FC236}">
              <a16:creationId xmlns:a16="http://schemas.microsoft.com/office/drawing/2014/main" id="{79702291-AA11-4662-8C92-80F1261893CE}"/>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view="pageBreakPreview" topLeftCell="A13" zoomScaleNormal="100" zoomScaleSheetLayoutView="100" workbookViewId="0">
      <selection activeCell="F21" sqref="F21"/>
    </sheetView>
  </sheetViews>
  <sheetFormatPr defaultRowHeight="12.75"/>
  <cols>
    <col min="1" max="1" width="4.42578125" style="1" customWidth="1"/>
    <col min="2" max="2" width="40.7109375" style="19" customWidth="1"/>
    <col min="3" max="3" width="5.5703125" style="486" customWidth="1"/>
    <col min="4" max="4" width="7.7109375" style="2" customWidth="1"/>
    <col min="5" max="5" width="14.42578125" style="19" customWidth="1"/>
    <col min="6" max="6" width="15.7109375" style="19" customWidth="1"/>
    <col min="7" max="7" width="4.28515625" style="19" customWidth="1"/>
    <col min="8" max="8" width="37.7109375" style="19" customWidth="1"/>
    <col min="9" max="9" width="19.7109375" style="19" customWidth="1"/>
    <col min="10" max="10" width="7.7109375" style="19" customWidth="1"/>
    <col min="11" max="11" width="15" style="19" customWidth="1"/>
    <col min="12" max="12" width="18.5703125" style="19" customWidth="1"/>
    <col min="13" max="16384" width="9.140625" style="19"/>
  </cols>
  <sheetData>
    <row r="1" spans="1:6" ht="49.5" customHeight="1">
      <c r="B1" s="567" t="s">
        <v>189</v>
      </c>
      <c r="C1" s="567"/>
      <c r="D1" s="567"/>
      <c r="E1" s="567"/>
      <c r="F1" s="567"/>
    </row>
    <row r="2" spans="1:6" ht="16.5">
      <c r="B2" s="568"/>
      <c r="C2" s="569"/>
      <c r="D2" s="569"/>
      <c r="E2" s="569"/>
      <c r="F2" s="569"/>
    </row>
    <row r="3" spans="1:6" ht="15">
      <c r="A3" s="122"/>
      <c r="B3" s="123"/>
      <c r="C3" s="124"/>
      <c r="D3" s="125"/>
      <c r="E3" s="123"/>
      <c r="F3" s="123"/>
    </row>
    <row r="4" spans="1:6" ht="25.5" customHeight="1" thickBot="1">
      <c r="A4" s="126"/>
      <c r="B4" s="127" t="s">
        <v>13</v>
      </c>
      <c r="C4" s="128"/>
      <c r="D4" s="129"/>
      <c r="E4" s="130"/>
      <c r="F4" s="130"/>
    </row>
    <row r="5" spans="1:6" s="23" customFormat="1" ht="21.75" customHeight="1" thickTop="1" thickBot="1">
      <c r="A5" s="131"/>
      <c r="B5" s="132" t="s">
        <v>50</v>
      </c>
      <c r="C5" s="133"/>
      <c r="D5" s="134"/>
      <c r="E5" s="135"/>
      <c r="F5" s="116"/>
    </row>
    <row r="6" spans="1:6" ht="23.25" customHeight="1">
      <c r="A6" s="117"/>
      <c r="B6" s="118" t="s">
        <v>114</v>
      </c>
      <c r="C6" s="119"/>
      <c r="D6" s="120"/>
      <c r="E6" s="121"/>
      <c r="F6" s="18">
        <f>'PRIPRAVLJALNA DELA'!F7</f>
        <v>0</v>
      </c>
    </row>
    <row r="7" spans="1:6" ht="25.5" customHeight="1">
      <c r="A7" s="117"/>
      <c r="B7" s="118" t="s">
        <v>179</v>
      </c>
      <c r="C7" s="119"/>
      <c r="D7" s="120"/>
      <c r="E7" s="121"/>
      <c r="F7" s="18">
        <f>'ŠTORE 05-1'!F78</f>
        <v>0</v>
      </c>
    </row>
    <row r="8" spans="1:6" ht="25.5" customHeight="1">
      <c r="A8" s="117"/>
      <c r="B8" s="118" t="s">
        <v>180</v>
      </c>
      <c r="C8" s="119"/>
      <c r="D8" s="120"/>
      <c r="E8" s="121"/>
      <c r="F8" s="18">
        <f>'ŠTORE 05-1.1'!F74</f>
        <v>0</v>
      </c>
    </row>
    <row r="9" spans="1:6" ht="25.5" customHeight="1">
      <c r="A9" s="117"/>
      <c r="B9" s="118" t="s">
        <v>186</v>
      </c>
      <c r="C9" s="119"/>
      <c r="D9" s="120"/>
      <c r="E9" s="121"/>
      <c r="F9" s="18">
        <f>'ŠTORE 05-1.1.1'!F63</f>
        <v>0</v>
      </c>
    </row>
    <row r="10" spans="1:6" ht="25.5" customHeight="1">
      <c r="A10" s="117"/>
      <c r="B10" s="118" t="s">
        <v>181</v>
      </c>
      <c r="C10" s="119"/>
      <c r="D10" s="120"/>
      <c r="E10" s="121"/>
      <c r="F10" s="18">
        <f>'ŠTORE 05-1.2'!F77</f>
        <v>0</v>
      </c>
    </row>
    <row r="11" spans="1:6" ht="25.5" customHeight="1">
      <c r="A11" s="117"/>
      <c r="B11" s="118" t="s">
        <v>182</v>
      </c>
      <c r="C11" s="119"/>
      <c r="D11" s="120"/>
      <c r="E11" s="121"/>
      <c r="F11" s="18">
        <f>'ŠTORE 05-1.3'!F65</f>
        <v>0</v>
      </c>
    </row>
    <row r="12" spans="1:6" ht="25.5" customHeight="1">
      <c r="A12" s="117"/>
      <c r="B12" s="118" t="s">
        <v>183</v>
      </c>
      <c r="C12" s="119"/>
      <c r="D12" s="120"/>
      <c r="E12" s="121"/>
      <c r="F12" s="18">
        <f>'ŠTORE 05-2'!F69</f>
        <v>0</v>
      </c>
    </row>
    <row r="13" spans="1:6" ht="25.5" customHeight="1">
      <c r="A13" s="117"/>
      <c r="B13" s="118" t="s">
        <v>184</v>
      </c>
      <c r="C13" s="119"/>
      <c r="D13" s="120"/>
      <c r="E13" s="121"/>
      <c r="F13" s="18">
        <f>'ŠTORE TL.05-T1'!F57</f>
        <v>0</v>
      </c>
    </row>
    <row r="14" spans="1:6" ht="25.5" customHeight="1">
      <c r="A14" s="117"/>
      <c r="B14" s="118" t="s">
        <v>190</v>
      </c>
      <c r="C14" s="119"/>
      <c r="D14" s="120"/>
      <c r="E14" s="121"/>
      <c r="F14" s="18">
        <f>'Črpališče Č3'!F166</f>
        <v>0</v>
      </c>
    </row>
    <row r="15" spans="1:6" ht="25.5" customHeight="1">
      <c r="A15" s="117"/>
      <c r="B15" s="118" t="s">
        <v>439</v>
      </c>
      <c r="C15" s="119"/>
      <c r="D15" s="120"/>
      <c r="E15" s="121"/>
      <c r="F15" s="18">
        <f>'Črpališče elektro oprema Č3'!F138</f>
        <v>0</v>
      </c>
    </row>
    <row r="16" spans="1:6" ht="25.5" customHeight="1">
      <c r="A16" s="117"/>
      <c r="B16" s="118" t="s">
        <v>438</v>
      </c>
      <c r="C16" s="119"/>
      <c r="D16" s="120"/>
      <c r="E16" s="121"/>
      <c r="F16" s="18">
        <f>'Črpališče-NN prikljucek Č3'!F79</f>
        <v>0</v>
      </c>
    </row>
    <row r="17" spans="1:6" ht="25.5" customHeight="1">
      <c r="A17" s="117"/>
      <c r="B17" s="118" t="s">
        <v>185</v>
      </c>
      <c r="C17" s="119"/>
      <c r="D17" s="120"/>
      <c r="E17" s="121"/>
      <c r="F17" s="18">
        <f>'ZAKLJUCNA DELA'!F7</f>
        <v>0</v>
      </c>
    </row>
    <row r="18" spans="1:6" ht="25.5" customHeight="1" thickBot="1">
      <c r="A18" s="229"/>
      <c r="B18" s="230"/>
      <c r="C18" s="231"/>
      <c r="D18" s="232"/>
      <c r="E18" s="233"/>
      <c r="F18" s="234"/>
    </row>
    <row r="19" spans="1:6" ht="25.9" customHeight="1" thickBot="1">
      <c r="A19" s="20"/>
      <c r="B19" s="21" t="s">
        <v>49</v>
      </c>
      <c r="C19" s="136"/>
      <c r="D19" s="137"/>
      <c r="E19" s="138"/>
      <c r="F19" s="22">
        <f>SUM(F6:F17)</f>
        <v>0</v>
      </c>
    </row>
    <row r="20" spans="1:6" ht="25.9" customHeight="1" thickBot="1">
      <c r="A20" s="560"/>
      <c r="B20" s="559" t="s">
        <v>94</v>
      </c>
      <c r="C20" s="558"/>
      <c r="D20" s="557"/>
      <c r="E20" s="556"/>
      <c r="F20" s="555">
        <f>F19*10%</f>
        <v>0</v>
      </c>
    </row>
    <row r="21" spans="1:6" ht="25.5" customHeight="1" thickBot="1">
      <c r="A21" s="4"/>
      <c r="B21" s="3" t="s">
        <v>15</v>
      </c>
      <c r="C21" s="6"/>
      <c r="D21" s="7"/>
      <c r="E21" s="3"/>
      <c r="F21" s="15">
        <f>SUM(F19:F20)</f>
        <v>0</v>
      </c>
    </row>
    <row r="22" spans="1:6" ht="26.25" customHeight="1" thickBot="1">
      <c r="A22" s="8"/>
      <c r="B22" s="11" t="s">
        <v>14</v>
      </c>
      <c r="C22" s="9"/>
      <c r="D22" s="10"/>
      <c r="E22" s="11"/>
      <c r="F22" s="16">
        <f>F21*22%</f>
        <v>0</v>
      </c>
    </row>
    <row r="23" spans="1:6" ht="29.25" customHeight="1" thickTop="1" thickBot="1">
      <c r="A23" s="5"/>
      <c r="B23" s="14" t="s">
        <v>27</v>
      </c>
      <c r="C23" s="12"/>
      <c r="D23" s="13"/>
      <c r="E23" s="14"/>
      <c r="F23" s="17">
        <f>F22+F21</f>
        <v>0</v>
      </c>
    </row>
    <row r="24" spans="1:6" ht="15.75" thickTop="1">
      <c r="A24" s="122"/>
      <c r="B24" s="123"/>
      <c r="C24" s="124"/>
      <c r="D24" s="125"/>
      <c r="E24" s="123"/>
      <c r="F24" s="139"/>
    </row>
    <row r="25" spans="1:6">
      <c r="B25" s="385"/>
    </row>
    <row r="26" spans="1:6" ht="48.75" customHeight="1">
      <c r="A26" s="570" t="s">
        <v>17</v>
      </c>
      <c r="B26" s="571"/>
      <c r="C26" s="571"/>
      <c r="D26" s="571"/>
      <c r="E26" s="571"/>
      <c r="F26" s="572"/>
    </row>
    <row r="27" spans="1:6" ht="48.75" customHeight="1">
      <c r="A27" s="564" t="s">
        <v>18</v>
      </c>
      <c r="B27" s="565"/>
      <c r="C27" s="565"/>
      <c r="D27" s="565"/>
      <c r="E27" s="565"/>
      <c r="F27" s="566"/>
    </row>
    <row r="28" spans="1:6" ht="167.25" customHeight="1">
      <c r="A28" s="564" t="s">
        <v>19</v>
      </c>
      <c r="B28" s="565"/>
      <c r="C28" s="565"/>
      <c r="D28" s="565"/>
      <c r="E28" s="565"/>
      <c r="F28" s="566"/>
    </row>
    <row r="29" spans="1:6" ht="44.25" customHeight="1">
      <c r="A29" s="564" t="s">
        <v>510</v>
      </c>
      <c r="B29" s="565"/>
      <c r="C29" s="565"/>
      <c r="D29" s="565"/>
      <c r="E29" s="565"/>
      <c r="F29" s="566"/>
    </row>
    <row r="30" spans="1:6" ht="40.5" customHeight="1">
      <c r="A30" s="564" t="s">
        <v>509</v>
      </c>
      <c r="B30" s="565"/>
      <c r="C30" s="565"/>
      <c r="D30" s="565"/>
      <c r="E30" s="565"/>
      <c r="F30" s="566"/>
    </row>
    <row r="31" spans="1:6" ht="37.5" customHeight="1">
      <c r="A31" s="564" t="s">
        <v>20</v>
      </c>
      <c r="B31" s="565"/>
      <c r="C31" s="565"/>
      <c r="D31" s="565"/>
      <c r="E31" s="565"/>
      <c r="F31" s="566"/>
    </row>
  </sheetData>
  <sheetProtection algorithmName="SHA-512" hashValue="sKFTfLWD/fzsuEXBC9wYXe5MC1nt2qKaI2shLn+Y9M9lt3rusP9Ta5NzMF4BWptD732aQZniQwOoS0e5mKtt5Q==" saltValue="H0VyyaUwq4wmROo/XrJpTQ==" spinCount="100000" sheet="1" objects="1" scenarios="1"/>
  <mergeCells count="8">
    <mergeCell ref="A31:F31"/>
    <mergeCell ref="B1:F1"/>
    <mergeCell ref="B2:F2"/>
    <mergeCell ref="A26:F26"/>
    <mergeCell ref="A27:F27"/>
    <mergeCell ref="A28:F28"/>
    <mergeCell ref="A29:F29"/>
    <mergeCell ref="A30:F30"/>
  </mergeCells>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F234"/>
  <sheetViews>
    <sheetView showZeros="0" view="pageBreakPreview" topLeftCell="A15" zoomScaleNormal="100" zoomScaleSheetLayoutView="100" workbookViewId="0">
      <selection activeCell="F27" sqref="F27"/>
    </sheetView>
  </sheetViews>
  <sheetFormatPr defaultRowHeight="15.75"/>
  <cols>
    <col min="1" max="1" width="6" style="358" customWidth="1"/>
    <col min="2" max="2" width="32.85546875" style="356" customWidth="1"/>
    <col min="3" max="3" width="4.85546875" style="356" customWidth="1"/>
    <col min="4" max="4" width="9.85546875" style="356" customWidth="1"/>
    <col min="5" max="5" width="14.140625" style="356" customWidth="1"/>
    <col min="6" max="6" width="15.28515625" style="357" customWidth="1"/>
    <col min="7" max="256" width="9.140625" style="19"/>
    <col min="257" max="257" width="6" style="19" customWidth="1"/>
    <col min="258" max="258" width="32.85546875" style="19" customWidth="1"/>
    <col min="259" max="259" width="4.85546875" style="19" customWidth="1"/>
    <col min="260" max="260" width="9.85546875" style="19" customWidth="1"/>
    <col min="261" max="261" width="14.140625" style="19" customWidth="1"/>
    <col min="262" max="262" width="15.28515625" style="19" customWidth="1"/>
    <col min="263" max="512" width="9.140625" style="19"/>
    <col min="513" max="513" width="6" style="19" customWidth="1"/>
    <col min="514" max="514" width="32.85546875" style="19" customWidth="1"/>
    <col min="515" max="515" width="4.85546875" style="19" customWidth="1"/>
    <col min="516" max="516" width="9.85546875" style="19" customWidth="1"/>
    <col min="517" max="517" width="14.140625" style="19" customWidth="1"/>
    <col min="518" max="518" width="15.28515625" style="19" customWidth="1"/>
    <col min="519" max="768" width="9.140625" style="19"/>
    <col min="769" max="769" width="6" style="19" customWidth="1"/>
    <col min="770" max="770" width="32.85546875" style="19" customWidth="1"/>
    <col min="771" max="771" width="4.85546875" style="19" customWidth="1"/>
    <col min="772" max="772" width="9.85546875" style="19" customWidth="1"/>
    <col min="773" max="773" width="14.140625" style="19" customWidth="1"/>
    <col min="774" max="774" width="15.28515625" style="19" customWidth="1"/>
    <col min="775" max="1024" width="9.140625" style="19"/>
    <col min="1025" max="1025" width="6" style="19" customWidth="1"/>
    <col min="1026" max="1026" width="32.85546875" style="19" customWidth="1"/>
    <col min="1027" max="1027" width="4.85546875" style="19" customWidth="1"/>
    <col min="1028" max="1028" width="9.85546875" style="19" customWidth="1"/>
    <col min="1029" max="1029" width="14.140625" style="19" customWidth="1"/>
    <col min="1030" max="1030" width="15.28515625" style="19" customWidth="1"/>
    <col min="1031" max="1280" width="9.140625" style="19"/>
    <col min="1281" max="1281" width="6" style="19" customWidth="1"/>
    <col min="1282" max="1282" width="32.85546875" style="19" customWidth="1"/>
    <col min="1283" max="1283" width="4.85546875" style="19" customWidth="1"/>
    <col min="1284" max="1284" width="9.85546875" style="19" customWidth="1"/>
    <col min="1285" max="1285" width="14.140625" style="19" customWidth="1"/>
    <col min="1286" max="1286" width="15.28515625" style="19" customWidth="1"/>
    <col min="1287" max="1536" width="9.140625" style="19"/>
    <col min="1537" max="1537" width="6" style="19" customWidth="1"/>
    <col min="1538" max="1538" width="32.85546875" style="19" customWidth="1"/>
    <col min="1539" max="1539" width="4.85546875" style="19" customWidth="1"/>
    <col min="1540" max="1540" width="9.85546875" style="19" customWidth="1"/>
    <col min="1541" max="1541" width="14.140625" style="19" customWidth="1"/>
    <col min="1542" max="1542" width="15.28515625" style="19" customWidth="1"/>
    <col min="1543" max="1792" width="9.140625" style="19"/>
    <col min="1793" max="1793" width="6" style="19" customWidth="1"/>
    <col min="1794" max="1794" width="32.85546875" style="19" customWidth="1"/>
    <col min="1795" max="1795" width="4.85546875" style="19" customWidth="1"/>
    <col min="1796" max="1796" width="9.85546875" style="19" customWidth="1"/>
    <col min="1797" max="1797" width="14.140625" style="19" customWidth="1"/>
    <col min="1798" max="1798" width="15.28515625" style="19" customWidth="1"/>
    <col min="1799" max="2048" width="9.140625" style="19"/>
    <col min="2049" max="2049" width="6" style="19" customWidth="1"/>
    <col min="2050" max="2050" width="32.85546875" style="19" customWidth="1"/>
    <col min="2051" max="2051" width="4.85546875" style="19" customWidth="1"/>
    <col min="2052" max="2052" width="9.85546875" style="19" customWidth="1"/>
    <col min="2053" max="2053" width="14.140625" style="19" customWidth="1"/>
    <col min="2054" max="2054" width="15.28515625" style="19" customWidth="1"/>
    <col min="2055" max="2304" width="9.140625" style="19"/>
    <col min="2305" max="2305" width="6" style="19" customWidth="1"/>
    <col min="2306" max="2306" width="32.85546875" style="19" customWidth="1"/>
    <col min="2307" max="2307" width="4.85546875" style="19" customWidth="1"/>
    <col min="2308" max="2308" width="9.85546875" style="19" customWidth="1"/>
    <col min="2309" max="2309" width="14.140625" style="19" customWidth="1"/>
    <col min="2310" max="2310" width="15.28515625" style="19" customWidth="1"/>
    <col min="2311" max="2560" width="9.140625" style="19"/>
    <col min="2561" max="2561" width="6" style="19" customWidth="1"/>
    <col min="2562" max="2562" width="32.85546875" style="19" customWidth="1"/>
    <col min="2563" max="2563" width="4.85546875" style="19" customWidth="1"/>
    <col min="2564" max="2564" width="9.85546875" style="19" customWidth="1"/>
    <col min="2565" max="2565" width="14.140625" style="19" customWidth="1"/>
    <col min="2566" max="2566" width="15.28515625" style="19" customWidth="1"/>
    <col min="2567" max="2816" width="9.140625" style="19"/>
    <col min="2817" max="2817" width="6" style="19" customWidth="1"/>
    <col min="2818" max="2818" width="32.85546875" style="19" customWidth="1"/>
    <col min="2819" max="2819" width="4.85546875" style="19" customWidth="1"/>
    <col min="2820" max="2820" width="9.85546875" style="19" customWidth="1"/>
    <col min="2821" max="2821" width="14.140625" style="19" customWidth="1"/>
    <col min="2822" max="2822" width="15.28515625" style="19" customWidth="1"/>
    <col min="2823" max="3072" width="9.140625" style="19"/>
    <col min="3073" max="3073" width="6" style="19" customWidth="1"/>
    <col min="3074" max="3074" width="32.85546875" style="19" customWidth="1"/>
    <col min="3075" max="3075" width="4.85546875" style="19" customWidth="1"/>
    <col min="3076" max="3076" width="9.85546875" style="19" customWidth="1"/>
    <col min="3077" max="3077" width="14.140625" style="19" customWidth="1"/>
    <col min="3078" max="3078" width="15.28515625" style="19" customWidth="1"/>
    <col min="3079" max="3328" width="9.140625" style="19"/>
    <col min="3329" max="3329" width="6" style="19" customWidth="1"/>
    <col min="3330" max="3330" width="32.85546875" style="19" customWidth="1"/>
    <col min="3331" max="3331" width="4.85546875" style="19" customWidth="1"/>
    <col min="3332" max="3332" width="9.85546875" style="19" customWidth="1"/>
    <col min="3333" max="3333" width="14.140625" style="19" customWidth="1"/>
    <col min="3334" max="3334" width="15.28515625" style="19" customWidth="1"/>
    <col min="3335" max="3584" width="9.140625" style="19"/>
    <col min="3585" max="3585" width="6" style="19" customWidth="1"/>
    <col min="3586" max="3586" width="32.85546875" style="19" customWidth="1"/>
    <col min="3587" max="3587" width="4.85546875" style="19" customWidth="1"/>
    <col min="3588" max="3588" width="9.85546875" style="19" customWidth="1"/>
    <col min="3589" max="3589" width="14.140625" style="19" customWidth="1"/>
    <col min="3590" max="3590" width="15.28515625" style="19" customWidth="1"/>
    <col min="3591" max="3840" width="9.140625" style="19"/>
    <col min="3841" max="3841" width="6" style="19" customWidth="1"/>
    <col min="3842" max="3842" width="32.85546875" style="19" customWidth="1"/>
    <col min="3843" max="3843" width="4.85546875" style="19" customWidth="1"/>
    <col min="3844" max="3844" width="9.85546875" style="19" customWidth="1"/>
    <col min="3845" max="3845" width="14.140625" style="19" customWidth="1"/>
    <col min="3846" max="3846" width="15.28515625" style="19" customWidth="1"/>
    <col min="3847" max="4096" width="9.140625" style="19"/>
    <col min="4097" max="4097" width="6" style="19" customWidth="1"/>
    <col min="4098" max="4098" width="32.85546875" style="19" customWidth="1"/>
    <col min="4099" max="4099" width="4.85546875" style="19" customWidth="1"/>
    <col min="4100" max="4100" width="9.85546875" style="19" customWidth="1"/>
    <col min="4101" max="4101" width="14.140625" style="19" customWidth="1"/>
    <col min="4102" max="4102" width="15.28515625" style="19" customWidth="1"/>
    <col min="4103" max="4352" width="9.140625" style="19"/>
    <col min="4353" max="4353" width="6" style="19" customWidth="1"/>
    <col min="4354" max="4354" width="32.85546875" style="19" customWidth="1"/>
    <col min="4355" max="4355" width="4.85546875" style="19" customWidth="1"/>
    <col min="4356" max="4356" width="9.85546875" style="19" customWidth="1"/>
    <col min="4357" max="4357" width="14.140625" style="19" customWidth="1"/>
    <col min="4358" max="4358" width="15.28515625" style="19" customWidth="1"/>
    <col min="4359" max="4608" width="9.140625" style="19"/>
    <col min="4609" max="4609" width="6" style="19" customWidth="1"/>
    <col min="4610" max="4610" width="32.85546875" style="19" customWidth="1"/>
    <col min="4611" max="4611" width="4.85546875" style="19" customWidth="1"/>
    <col min="4612" max="4612" width="9.85546875" style="19" customWidth="1"/>
    <col min="4613" max="4613" width="14.140625" style="19" customWidth="1"/>
    <col min="4614" max="4614" width="15.28515625" style="19" customWidth="1"/>
    <col min="4615" max="4864" width="9.140625" style="19"/>
    <col min="4865" max="4865" width="6" style="19" customWidth="1"/>
    <col min="4866" max="4866" width="32.85546875" style="19" customWidth="1"/>
    <col min="4867" max="4867" width="4.85546875" style="19" customWidth="1"/>
    <col min="4868" max="4868" width="9.85546875" style="19" customWidth="1"/>
    <col min="4869" max="4869" width="14.140625" style="19" customWidth="1"/>
    <col min="4870" max="4870" width="15.28515625" style="19" customWidth="1"/>
    <col min="4871" max="5120" width="9.140625" style="19"/>
    <col min="5121" max="5121" width="6" style="19" customWidth="1"/>
    <col min="5122" max="5122" width="32.85546875" style="19" customWidth="1"/>
    <col min="5123" max="5123" width="4.85546875" style="19" customWidth="1"/>
    <col min="5124" max="5124" width="9.85546875" style="19" customWidth="1"/>
    <col min="5125" max="5125" width="14.140625" style="19" customWidth="1"/>
    <col min="5126" max="5126" width="15.28515625" style="19" customWidth="1"/>
    <col min="5127" max="5376" width="9.140625" style="19"/>
    <col min="5377" max="5377" width="6" style="19" customWidth="1"/>
    <col min="5378" max="5378" width="32.85546875" style="19" customWidth="1"/>
    <col min="5379" max="5379" width="4.85546875" style="19" customWidth="1"/>
    <col min="5380" max="5380" width="9.85546875" style="19" customWidth="1"/>
    <col min="5381" max="5381" width="14.140625" style="19" customWidth="1"/>
    <col min="5382" max="5382" width="15.28515625" style="19" customWidth="1"/>
    <col min="5383" max="5632" width="9.140625" style="19"/>
    <col min="5633" max="5633" width="6" style="19" customWidth="1"/>
    <col min="5634" max="5634" width="32.85546875" style="19" customWidth="1"/>
    <col min="5635" max="5635" width="4.85546875" style="19" customWidth="1"/>
    <col min="5636" max="5636" width="9.85546875" style="19" customWidth="1"/>
    <col min="5637" max="5637" width="14.140625" style="19" customWidth="1"/>
    <col min="5638" max="5638" width="15.28515625" style="19" customWidth="1"/>
    <col min="5639" max="5888" width="9.140625" style="19"/>
    <col min="5889" max="5889" width="6" style="19" customWidth="1"/>
    <col min="5890" max="5890" width="32.85546875" style="19" customWidth="1"/>
    <col min="5891" max="5891" width="4.85546875" style="19" customWidth="1"/>
    <col min="5892" max="5892" width="9.85546875" style="19" customWidth="1"/>
    <col min="5893" max="5893" width="14.140625" style="19" customWidth="1"/>
    <col min="5894" max="5894" width="15.28515625" style="19" customWidth="1"/>
    <col min="5895" max="6144" width="9.140625" style="19"/>
    <col min="6145" max="6145" width="6" style="19" customWidth="1"/>
    <col min="6146" max="6146" width="32.85546875" style="19" customWidth="1"/>
    <col min="6147" max="6147" width="4.85546875" style="19" customWidth="1"/>
    <col min="6148" max="6148" width="9.85546875" style="19" customWidth="1"/>
    <col min="6149" max="6149" width="14.140625" style="19" customWidth="1"/>
    <col min="6150" max="6150" width="15.28515625" style="19" customWidth="1"/>
    <col min="6151" max="6400" width="9.140625" style="19"/>
    <col min="6401" max="6401" width="6" style="19" customWidth="1"/>
    <col min="6402" max="6402" width="32.85546875" style="19" customWidth="1"/>
    <col min="6403" max="6403" width="4.85546875" style="19" customWidth="1"/>
    <col min="6404" max="6404" width="9.85546875" style="19" customWidth="1"/>
    <col min="6405" max="6405" width="14.140625" style="19" customWidth="1"/>
    <col min="6406" max="6406" width="15.28515625" style="19" customWidth="1"/>
    <col min="6407" max="6656" width="9.140625" style="19"/>
    <col min="6657" max="6657" width="6" style="19" customWidth="1"/>
    <col min="6658" max="6658" width="32.85546875" style="19" customWidth="1"/>
    <col min="6659" max="6659" width="4.85546875" style="19" customWidth="1"/>
    <col min="6660" max="6660" width="9.85546875" style="19" customWidth="1"/>
    <col min="6661" max="6661" width="14.140625" style="19" customWidth="1"/>
    <col min="6662" max="6662" width="15.28515625" style="19" customWidth="1"/>
    <col min="6663" max="6912" width="9.140625" style="19"/>
    <col min="6913" max="6913" width="6" style="19" customWidth="1"/>
    <col min="6914" max="6914" width="32.85546875" style="19" customWidth="1"/>
    <col min="6915" max="6915" width="4.85546875" style="19" customWidth="1"/>
    <col min="6916" max="6916" width="9.85546875" style="19" customWidth="1"/>
    <col min="6917" max="6917" width="14.140625" style="19" customWidth="1"/>
    <col min="6918" max="6918" width="15.28515625" style="19" customWidth="1"/>
    <col min="6919" max="7168" width="9.140625" style="19"/>
    <col min="7169" max="7169" width="6" style="19" customWidth="1"/>
    <col min="7170" max="7170" width="32.85546875" style="19" customWidth="1"/>
    <col min="7171" max="7171" width="4.85546875" style="19" customWidth="1"/>
    <col min="7172" max="7172" width="9.85546875" style="19" customWidth="1"/>
    <col min="7173" max="7173" width="14.140625" style="19" customWidth="1"/>
    <col min="7174" max="7174" width="15.28515625" style="19" customWidth="1"/>
    <col min="7175" max="7424" width="9.140625" style="19"/>
    <col min="7425" max="7425" width="6" style="19" customWidth="1"/>
    <col min="7426" max="7426" width="32.85546875" style="19" customWidth="1"/>
    <col min="7427" max="7427" width="4.85546875" style="19" customWidth="1"/>
    <col min="7428" max="7428" width="9.85546875" style="19" customWidth="1"/>
    <col min="7429" max="7429" width="14.140625" style="19" customWidth="1"/>
    <col min="7430" max="7430" width="15.28515625" style="19" customWidth="1"/>
    <col min="7431" max="7680" width="9.140625" style="19"/>
    <col min="7681" max="7681" width="6" style="19" customWidth="1"/>
    <col min="7682" max="7682" width="32.85546875" style="19" customWidth="1"/>
    <col min="7683" max="7683" width="4.85546875" style="19" customWidth="1"/>
    <col min="7684" max="7684" width="9.85546875" style="19" customWidth="1"/>
    <col min="7685" max="7685" width="14.140625" style="19" customWidth="1"/>
    <col min="7686" max="7686" width="15.28515625" style="19" customWidth="1"/>
    <col min="7687" max="7936" width="9.140625" style="19"/>
    <col min="7937" max="7937" width="6" style="19" customWidth="1"/>
    <col min="7938" max="7938" width="32.85546875" style="19" customWidth="1"/>
    <col min="7939" max="7939" width="4.85546875" style="19" customWidth="1"/>
    <col min="7940" max="7940" width="9.85546875" style="19" customWidth="1"/>
    <col min="7941" max="7941" width="14.140625" style="19" customWidth="1"/>
    <col min="7942" max="7942" width="15.28515625" style="19" customWidth="1"/>
    <col min="7943" max="8192" width="9.140625" style="19"/>
    <col min="8193" max="8193" width="6" style="19" customWidth="1"/>
    <col min="8194" max="8194" width="32.85546875" style="19" customWidth="1"/>
    <col min="8195" max="8195" width="4.85546875" style="19" customWidth="1"/>
    <col min="8196" max="8196" width="9.85546875" style="19" customWidth="1"/>
    <col min="8197" max="8197" width="14.140625" style="19" customWidth="1"/>
    <col min="8198" max="8198" width="15.28515625" style="19" customWidth="1"/>
    <col min="8199" max="8448" width="9.140625" style="19"/>
    <col min="8449" max="8449" width="6" style="19" customWidth="1"/>
    <col min="8450" max="8450" width="32.85546875" style="19" customWidth="1"/>
    <col min="8451" max="8451" width="4.85546875" style="19" customWidth="1"/>
    <col min="8452" max="8452" width="9.85546875" style="19" customWidth="1"/>
    <col min="8453" max="8453" width="14.140625" style="19" customWidth="1"/>
    <col min="8454" max="8454" width="15.28515625" style="19" customWidth="1"/>
    <col min="8455" max="8704" width="9.140625" style="19"/>
    <col min="8705" max="8705" width="6" style="19" customWidth="1"/>
    <col min="8706" max="8706" width="32.85546875" style="19" customWidth="1"/>
    <col min="8707" max="8707" width="4.85546875" style="19" customWidth="1"/>
    <col min="8708" max="8708" width="9.85546875" style="19" customWidth="1"/>
    <col min="8709" max="8709" width="14.140625" style="19" customWidth="1"/>
    <col min="8710" max="8710" width="15.28515625" style="19" customWidth="1"/>
    <col min="8711" max="8960" width="9.140625" style="19"/>
    <col min="8961" max="8961" width="6" style="19" customWidth="1"/>
    <col min="8962" max="8962" width="32.85546875" style="19" customWidth="1"/>
    <col min="8963" max="8963" width="4.85546875" style="19" customWidth="1"/>
    <col min="8964" max="8964" width="9.85546875" style="19" customWidth="1"/>
    <col min="8965" max="8965" width="14.140625" style="19" customWidth="1"/>
    <col min="8966" max="8966" width="15.28515625" style="19" customWidth="1"/>
    <col min="8967" max="9216" width="9.140625" style="19"/>
    <col min="9217" max="9217" width="6" style="19" customWidth="1"/>
    <col min="9218" max="9218" width="32.85546875" style="19" customWidth="1"/>
    <col min="9219" max="9219" width="4.85546875" style="19" customWidth="1"/>
    <col min="9220" max="9220" width="9.85546875" style="19" customWidth="1"/>
    <col min="9221" max="9221" width="14.140625" style="19" customWidth="1"/>
    <col min="9222" max="9222" width="15.28515625" style="19" customWidth="1"/>
    <col min="9223" max="9472" width="9.140625" style="19"/>
    <col min="9473" max="9473" width="6" style="19" customWidth="1"/>
    <col min="9474" max="9474" width="32.85546875" style="19" customWidth="1"/>
    <col min="9475" max="9475" width="4.85546875" style="19" customWidth="1"/>
    <col min="9476" max="9476" width="9.85546875" style="19" customWidth="1"/>
    <col min="9477" max="9477" width="14.140625" style="19" customWidth="1"/>
    <col min="9478" max="9478" width="15.28515625" style="19" customWidth="1"/>
    <col min="9479" max="9728" width="9.140625" style="19"/>
    <col min="9729" max="9729" width="6" style="19" customWidth="1"/>
    <col min="9730" max="9730" width="32.85546875" style="19" customWidth="1"/>
    <col min="9731" max="9731" width="4.85546875" style="19" customWidth="1"/>
    <col min="9732" max="9732" width="9.85546875" style="19" customWidth="1"/>
    <col min="9733" max="9733" width="14.140625" style="19" customWidth="1"/>
    <col min="9734" max="9734" width="15.28515625" style="19" customWidth="1"/>
    <col min="9735" max="9984" width="9.140625" style="19"/>
    <col min="9985" max="9985" width="6" style="19" customWidth="1"/>
    <col min="9986" max="9986" width="32.85546875" style="19" customWidth="1"/>
    <col min="9987" max="9987" width="4.85546875" style="19" customWidth="1"/>
    <col min="9988" max="9988" width="9.85546875" style="19" customWidth="1"/>
    <col min="9989" max="9989" width="14.140625" style="19" customWidth="1"/>
    <col min="9990" max="9990" width="15.28515625" style="19" customWidth="1"/>
    <col min="9991" max="10240" width="9.140625" style="19"/>
    <col min="10241" max="10241" width="6" style="19" customWidth="1"/>
    <col min="10242" max="10242" width="32.85546875" style="19" customWidth="1"/>
    <col min="10243" max="10243" width="4.85546875" style="19" customWidth="1"/>
    <col min="10244" max="10244" width="9.85546875" style="19" customWidth="1"/>
    <col min="10245" max="10245" width="14.140625" style="19" customWidth="1"/>
    <col min="10246" max="10246" width="15.28515625" style="19" customWidth="1"/>
    <col min="10247" max="10496" width="9.140625" style="19"/>
    <col min="10497" max="10497" width="6" style="19" customWidth="1"/>
    <col min="10498" max="10498" width="32.85546875" style="19" customWidth="1"/>
    <col min="10499" max="10499" width="4.85546875" style="19" customWidth="1"/>
    <col min="10500" max="10500" width="9.85546875" style="19" customWidth="1"/>
    <col min="10501" max="10501" width="14.140625" style="19" customWidth="1"/>
    <col min="10502" max="10502" width="15.28515625" style="19" customWidth="1"/>
    <col min="10503" max="10752" width="9.140625" style="19"/>
    <col min="10753" max="10753" width="6" style="19" customWidth="1"/>
    <col min="10754" max="10754" width="32.85546875" style="19" customWidth="1"/>
    <col min="10755" max="10755" width="4.85546875" style="19" customWidth="1"/>
    <col min="10756" max="10756" width="9.85546875" style="19" customWidth="1"/>
    <col min="10757" max="10757" width="14.140625" style="19" customWidth="1"/>
    <col min="10758" max="10758" width="15.28515625" style="19" customWidth="1"/>
    <col min="10759" max="11008" width="9.140625" style="19"/>
    <col min="11009" max="11009" width="6" style="19" customWidth="1"/>
    <col min="11010" max="11010" width="32.85546875" style="19" customWidth="1"/>
    <col min="11011" max="11011" width="4.85546875" style="19" customWidth="1"/>
    <col min="11012" max="11012" width="9.85546875" style="19" customWidth="1"/>
    <col min="11013" max="11013" width="14.140625" style="19" customWidth="1"/>
    <col min="11014" max="11014" width="15.28515625" style="19" customWidth="1"/>
    <col min="11015" max="11264" width="9.140625" style="19"/>
    <col min="11265" max="11265" width="6" style="19" customWidth="1"/>
    <col min="11266" max="11266" width="32.85546875" style="19" customWidth="1"/>
    <col min="11267" max="11267" width="4.85546875" style="19" customWidth="1"/>
    <col min="11268" max="11268" width="9.85546875" style="19" customWidth="1"/>
    <col min="11269" max="11269" width="14.140625" style="19" customWidth="1"/>
    <col min="11270" max="11270" width="15.28515625" style="19" customWidth="1"/>
    <col min="11271" max="11520" width="9.140625" style="19"/>
    <col min="11521" max="11521" width="6" style="19" customWidth="1"/>
    <col min="11522" max="11522" width="32.85546875" style="19" customWidth="1"/>
    <col min="11523" max="11523" width="4.85546875" style="19" customWidth="1"/>
    <col min="11524" max="11524" width="9.85546875" style="19" customWidth="1"/>
    <col min="11525" max="11525" width="14.140625" style="19" customWidth="1"/>
    <col min="11526" max="11526" width="15.28515625" style="19" customWidth="1"/>
    <col min="11527" max="11776" width="9.140625" style="19"/>
    <col min="11777" max="11777" width="6" style="19" customWidth="1"/>
    <col min="11778" max="11778" width="32.85546875" style="19" customWidth="1"/>
    <col min="11779" max="11779" width="4.85546875" style="19" customWidth="1"/>
    <col min="11780" max="11780" width="9.85546875" style="19" customWidth="1"/>
    <col min="11781" max="11781" width="14.140625" style="19" customWidth="1"/>
    <col min="11782" max="11782" width="15.28515625" style="19" customWidth="1"/>
    <col min="11783" max="12032" width="9.140625" style="19"/>
    <col min="12033" max="12033" width="6" style="19" customWidth="1"/>
    <col min="12034" max="12034" width="32.85546875" style="19" customWidth="1"/>
    <col min="12035" max="12035" width="4.85546875" style="19" customWidth="1"/>
    <col min="12036" max="12036" width="9.85546875" style="19" customWidth="1"/>
    <col min="12037" max="12037" width="14.140625" style="19" customWidth="1"/>
    <col min="12038" max="12038" width="15.28515625" style="19" customWidth="1"/>
    <col min="12039" max="12288" width="9.140625" style="19"/>
    <col min="12289" max="12289" width="6" style="19" customWidth="1"/>
    <col min="12290" max="12290" width="32.85546875" style="19" customWidth="1"/>
    <col min="12291" max="12291" width="4.85546875" style="19" customWidth="1"/>
    <col min="12292" max="12292" width="9.85546875" style="19" customWidth="1"/>
    <col min="12293" max="12293" width="14.140625" style="19" customWidth="1"/>
    <col min="12294" max="12294" width="15.28515625" style="19" customWidth="1"/>
    <col min="12295" max="12544" width="9.140625" style="19"/>
    <col min="12545" max="12545" width="6" style="19" customWidth="1"/>
    <col min="12546" max="12546" width="32.85546875" style="19" customWidth="1"/>
    <col min="12547" max="12547" width="4.85546875" style="19" customWidth="1"/>
    <col min="12548" max="12548" width="9.85546875" style="19" customWidth="1"/>
    <col min="12549" max="12549" width="14.140625" style="19" customWidth="1"/>
    <col min="12550" max="12550" width="15.28515625" style="19" customWidth="1"/>
    <col min="12551" max="12800" width="9.140625" style="19"/>
    <col min="12801" max="12801" width="6" style="19" customWidth="1"/>
    <col min="12802" max="12802" width="32.85546875" style="19" customWidth="1"/>
    <col min="12803" max="12803" width="4.85546875" style="19" customWidth="1"/>
    <col min="12804" max="12804" width="9.85546875" style="19" customWidth="1"/>
    <col min="12805" max="12805" width="14.140625" style="19" customWidth="1"/>
    <col min="12806" max="12806" width="15.28515625" style="19" customWidth="1"/>
    <col min="12807" max="13056" width="9.140625" style="19"/>
    <col min="13057" max="13057" width="6" style="19" customWidth="1"/>
    <col min="13058" max="13058" width="32.85546875" style="19" customWidth="1"/>
    <col min="13059" max="13059" width="4.85546875" style="19" customWidth="1"/>
    <col min="13060" max="13060" width="9.85546875" style="19" customWidth="1"/>
    <col min="13061" max="13061" width="14.140625" style="19" customWidth="1"/>
    <col min="13062" max="13062" width="15.28515625" style="19" customWidth="1"/>
    <col min="13063" max="13312" width="9.140625" style="19"/>
    <col min="13313" max="13313" width="6" style="19" customWidth="1"/>
    <col min="13314" max="13314" width="32.85546875" style="19" customWidth="1"/>
    <col min="13315" max="13315" width="4.85546875" style="19" customWidth="1"/>
    <col min="13316" max="13316" width="9.85546875" style="19" customWidth="1"/>
    <col min="13317" max="13317" width="14.140625" style="19" customWidth="1"/>
    <col min="13318" max="13318" width="15.28515625" style="19" customWidth="1"/>
    <col min="13319" max="13568" width="9.140625" style="19"/>
    <col min="13569" max="13569" width="6" style="19" customWidth="1"/>
    <col min="13570" max="13570" width="32.85546875" style="19" customWidth="1"/>
    <col min="13571" max="13571" width="4.85546875" style="19" customWidth="1"/>
    <col min="13572" max="13572" width="9.85546875" style="19" customWidth="1"/>
    <col min="13573" max="13573" width="14.140625" style="19" customWidth="1"/>
    <col min="13574" max="13574" width="15.28515625" style="19" customWidth="1"/>
    <col min="13575" max="13824" width="9.140625" style="19"/>
    <col min="13825" max="13825" width="6" style="19" customWidth="1"/>
    <col min="13826" max="13826" width="32.85546875" style="19" customWidth="1"/>
    <col min="13827" max="13827" width="4.85546875" style="19" customWidth="1"/>
    <col min="13828" max="13828" width="9.85546875" style="19" customWidth="1"/>
    <col min="13829" max="13829" width="14.140625" style="19" customWidth="1"/>
    <col min="13830" max="13830" width="15.28515625" style="19" customWidth="1"/>
    <col min="13831" max="14080" width="9.140625" style="19"/>
    <col min="14081" max="14081" width="6" style="19" customWidth="1"/>
    <col min="14082" max="14082" width="32.85546875" style="19" customWidth="1"/>
    <col min="14083" max="14083" width="4.85546875" style="19" customWidth="1"/>
    <col min="14084" max="14084" width="9.85546875" style="19" customWidth="1"/>
    <col min="14085" max="14085" width="14.140625" style="19" customWidth="1"/>
    <col min="14086" max="14086" width="15.28515625" style="19" customWidth="1"/>
    <col min="14087" max="14336" width="9.140625" style="19"/>
    <col min="14337" max="14337" width="6" style="19" customWidth="1"/>
    <col min="14338" max="14338" width="32.85546875" style="19" customWidth="1"/>
    <col min="14339" max="14339" width="4.85546875" style="19" customWidth="1"/>
    <col min="14340" max="14340" width="9.85546875" style="19" customWidth="1"/>
    <col min="14341" max="14341" width="14.140625" style="19" customWidth="1"/>
    <col min="14342" max="14342" width="15.28515625" style="19" customWidth="1"/>
    <col min="14343" max="14592" width="9.140625" style="19"/>
    <col min="14593" max="14593" width="6" style="19" customWidth="1"/>
    <col min="14594" max="14594" width="32.85546875" style="19" customWidth="1"/>
    <col min="14595" max="14595" width="4.85546875" style="19" customWidth="1"/>
    <col min="14596" max="14596" width="9.85546875" style="19" customWidth="1"/>
    <col min="14597" max="14597" width="14.140625" style="19" customWidth="1"/>
    <col min="14598" max="14598" width="15.28515625" style="19" customWidth="1"/>
    <col min="14599" max="14848" width="9.140625" style="19"/>
    <col min="14849" max="14849" width="6" style="19" customWidth="1"/>
    <col min="14850" max="14850" width="32.85546875" style="19" customWidth="1"/>
    <col min="14851" max="14851" width="4.85546875" style="19" customWidth="1"/>
    <col min="14852" max="14852" width="9.85546875" style="19" customWidth="1"/>
    <col min="14853" max="14853" width="14.140625" style="19" customWidth="1"/>
    <col min="14854" max="14854" width="15.28515625" style="19" customWidth="1"/>
    <col min="14855" max="15104" width="9.140625" style="19"/>
    <col min="15105" max="15105" width="6" style="19" customWidth="1"/>
    <col min="15106" max="15106" width="32.85546875" style="19" customWidth="1"/>
    <col min="15107" max="15107" width="4.85546875" style="19" customWidth="1"/>
    <col min="15108" max="15108" width="9.85546875" style="19" customWidth="1"/>
    <col min="15109" max="15109" width="14.140625" style="19" customWidth="1"/>
    <col min="15110" max="15110" width="15.28515625" style="19" customWidth="1"/>
    <col min="15111" max="15360" width="9.140625" style="19"/>
    <col min="15361" max="15361" width="6" style="19" customWidth="1"/>
    <col min="15362" max="15362" width="32.85546875" style="19" customWidth="1"/>
    <col min="15363" max="15363" width="4.85546875" style="19" customWidth="1"/>
    <col min="15364" max="15364" width="9.85546875" style="19" customWidth="1"/>
    <col min="15365" max="15365" width="14.140625" style="19" customWidth="1"/>
    <col min="15366" max="15366" width="15.28515625" style="19" customWidth="1"/>
    <col min="15367" max="15616" width="9.140625" style="19"/>
    <col min="15617" max="15617" width="6" style="19" customWidth="1"/>
    <col min="15618" max="15618" width="32.85546875" style="19" customWidth="1"/>
    <col min="15619" max="15619" width="4.85546875" style="19" customWidth="1"/>
    <col min="15620" max="15620" width="9.85546875" style="19" customWidth="1"/>
    <col min="15621" max="15621" width="14.140625" style="19" customWidth="1"/>
    <col min="15622" max="15622" width="15.28515625" style="19" customWidth="1"/>
    <col min="15623" max="15872" width="9.140625" style="19"/>
    <col min="15873" max="15873" width="6" style="19" customWidth="1"/>
    <col min="15874" max="15874" width="32.85546875" style="19" customWidth="1"/>
    <col min="15875" max="15875" width="4.85546875" style="19" customWidth="1"/>
    <col min="15876" max="15876" width="9.85546875" style="19" customWidth="1"/>
    <col min="15877" max="15877" width="14.140625" style="19" customWidth="1"/>
    <col min="15878" max="15878" width="15.28515625" style="19" customWidth="1"/>
    <col min="15879" max="16128" width="9.140625" style="19"/>
    <col min="16129" max="16129" width="6" style="19" customWidth="1"/>
    <col min="16130" max="16130" width="32.85546875" style="19" customWidth="1"/>
    <col min="16131" max="16131" width="4.85546875" style="19" customWidth="1"/>
    <col min="16132" max="16132" width="9.85546875" style="19" customWidth="1"/>
    <col min="16133" max="16133" width="14.140625" style="19" customWidth="1"/>
    <col min="16134" max="16134" width="15.28515625" style="19" customWidth="1"/>
    <col min="16135" max="16384" width="9.140625" style="19"/>
  </cols>
  <sheetData>
    <row r="1" spans="1:6">
      <c r="A1" s="350" t="s">
        <v>333</v>
      </c>
      <c r="B1" s="351" t="s">
        <v>334</v>
      </c>
      <c r="C1" s="351" t="s">
        <v>335</v>
      </c>
      <c r="D1" s="351" t="s">
        <v>336</v>
      </c>
      <c r="E1" s="351" t="s">
        <v>337</v>
      </c>
      <c r="F1" s="352" t="s">
        <v>338</v>
      </c>
    </row>
    <row r="2" spans="1:6">
      <c r="A2" s="353"/>
      <c r="B2" s="354"/>
      <c r="C2" s="354"/>
      <c r="D2" s="355"/>
    </row>
    <row r="3" spans="1:6">
      <c r="A3" s="377" t="s">
        <v>440</v>
      </c>
      <c r="B3" s="378"/>
      <c r="C3" s="378"/>
      <c r="D3" s="379"/>
      <c r="E3" s="378"/>
      <c r="F3" s="380"/>
    </row>
    <row r="4" spans="1:6">
      <c r="D4" s="355"/>
    </row>
    <row r="5" spans="1:6">
      <c r="A5" s="353">
        <v>1</v>
      </c>
      <c r="B5" s="354" t="s">
        <v>339</v>
      </c>
      <c r="C5" s="354" t="s">
        <v>257</v>
      </c>
      <c r="D5" s="355">
        <v>1</v>
      </c>
      <c r="E5" s="562"/>
      <c r="F5" s="488">
        <f>(D5*E5)</f>
        <v>0</v>
      </c>
    </row>
    <row r="6" spans="1:6">
      <c r="A6" s="353"/>
      <c r="B6" s="354"/>
      <c r="C6" s="354"/>
      <c r="D6" s="355"/>
      <c r="E6" s="487"/>
      <c r="F6" s="488"/>
    </row>
    <row r="7" spans="1:6">
      <c r="A7" s="353"/>
      <c r="B7" s="354"/>
      <c r="C7" s="354"/>
      <c r="D7" s="355"/>
      <c r="E7" s="487"/>
      <c r="F7" s="488"/>
    </row>
    <row r="8" spans="1:6">
      <c r="A8" s="353">
        <v>2</v>
      </c>
      <c r="B8" s="354" t="s">
        <v>340</v>
      </c>
      <c r="D8" s="355"/>
      <c r="E8" s="487"/>
      <c r="F8" s="488"/>
    </row>
    <row r="9" spans="1:6">
      <c r="A9" s="353"/>
      <c r="B9" s="354" t="s">
        <v>341</v>
      </c>
      <c r="D9" s="355"/>
      <c r="E9" s="487"/>
      <c r="F9" s="488"/>
    </row>
    <row r="10" spans="1:6">
      <c r="A10" s="353"/>
      <c r="B10" s="354" t="s">
        <v>342</v>
      </c>
      <c r="D10" s="355"/>
      <c r="E10" s="487"/>
      <c r="F10" s="488"/>
    </row>
    <row r="11" spans="1:6">
      <c r="A11" s="353"/>
      <c r="B11" s="354" t="s">
        <v>343</v>
      </c>
      <c r="E11" s="487"/>
      <c r="F11" s="488"/>
    </row>
    <row r="12" spans="1:6">
      <c r="A12" s="353"/>
      <c r="B12" s="354" t="s">
        <v>344</v>
      </c>
      <c r="E12" s="487"/>
      <c r="F12" s="488"/>
    </row>
    <row r="13" spans="1:6">
      <c r="B13" s="356" t="s">
        <v>345</v>
      </c>
      <c r="E13" s="487"/>
      <c r="F13" s="488"/>
    </row>
    <row r="14" spans="1:6">
      <c r="E14" s="487"/>
      <c r="F14" s="488"/>
    </row>
    <row r="15" spans="1:6">
      <c r="B15" s="356" t="s">
        <v>346</v>
      </c>
      <c r="C15" s="354" t="s">
        <v>347</v>
      </c>
      <c r="D15" s="355">
        <f>4.5*4.5*2</f>
        <v>40.5</v>
      </c>
      <c r="E15" s="562"/>
      <c r="F15" s="488">
        <f>(D15*E15)</f>
        <v>0</v>
      </c>
    </row>
    <row r="16" spans="1:6">
      <c r="C16" s="354"/>
      <c r="D16" s="355"/>
      <c r="E16" s="487"/>
      <c r="F16" s="488"/>
    </row>
    <row r="17" spans="1:6">
      <c r="B17" s="356" t="s">
        <v>348</v>
      </c>
      <c r="C17" s="354" t="s">
        <v>347</v>
      </c>
      <c r="D17" s="355">
        <f>4.5*4.5*2.3</f>
        <v>46.574999999999996</v>
      </c>
      <c r="E17" s="562"/>
      <c r="F17" s="488">
        <f>(D17*E17)</f>
        <v>0</v>
      </c>
    </row>
    <row r="18" spans="1:6">
      <c r="C18" s="354"/>
      <c r="D18" s="355"/>
      <c r="E18" s="487"/>
      <c r="F18" s="488"/>
    </row>
    <row r="19" spans="1:6">
      <c r="E19" s="487"/>
      <c r="F19" s="488"/>
    </row>
    <row r="20" spans="1:6">
      <c r="A20" s="353">
        <v>3</v>
      </c>
      <c r="B20" s="354" t="s">
        <v>349</v>
      </c>
      <c r="C20" s="354"/>
      <c r="D20" s="355"/>
      <c r="E20" s="487"/>
      <c r="F20" s="488"/>
    </row>
    <row r="21" spans="1:6">
      <c r="A21" s="353"/>
      <c r="B21" s="354" t="s">
        <v>350</v>
      </c>
      <c r="E21" s="487"/>
      <c r="F21" s="488"/>
    </row>
    <row r="22" spans="1:6">
      <c r="B22" s="356" t="s">
        <v>351</v>
      </c>
      <c r="C22" s="354" t="s">
        <v>347</v>
      </c>
      <c r="D22" s="355">
        <f>(D15+D17)*1.25</f>
        <v>108.84374999999999</v>
      </c>
      <c r="E22" s="562"/>
      <c r="F22" s="488">
        <f>(D22*E22)</f>
        <v>0</v>
      </c>
    </row>
    <row r="23" spans="1:6">
      <c r="C23" s="354"/>
      <c r="D23" s="355"/>
      <c r="E23" s="487"/>
      <c r="F23" s="488"/>
    </row>
    <row r="24" spans="1:6">
      <c r="E24" s="487"/>
      <c r="F24" s="488"/>
    </row>
    <row r="25" spans="1:6">
      <c r="A25" s="353">
        <v>4</v>
      </c>
      <c r="B25" s="354" t="s">
        <v>352</v>
      </c>
      <c r="E25" s="487"/>
      <c r="F25" s="488"/>
    </row>
    <row r="26" spans="1:6">
      <c r="A26" s="353"/>
      <c r="B26" s="354" t="s">
        <v>353</v>
      </c>
      <c r="E26" s="487"/>
      <c r="F26" s="488"/>
    </row>
    <row r="27" spans="1:6">
      <c r="B27" s="356" t="s">
        <v>354</v>
      </c>
      <c r="C27" s="354" t="s">
        <v>355</v>
      </c>
      <c r="D27" s="355">
        <v>85</v>
      </c>
      <c r="E27" s="562"/>
      <c r="F27" s="488">
        <f>(D27*E27)</f>
        <v>0</v>
      </c>
    </row>
    <row r="28" spans="1:6">
      <c r="E28" s="487"/>
      <c r="F28" s="488"/>
    </row>
    <row r="29" spans="1:6">
      <c r="E29" s="487"/>
      <c r="F29" s="488"/>
    </row>
    <row r="30" spans="1:6">
      <c r="A30" s="353">
        <v>5</v>
      </c>
      <c r="B30" s="354" t="s">
        <v>356</v>
      </c>
      <c r="E30" s="487"/>
      <c r="F30" s="488"/>
    </row>
    <row r="31" spans="1:6">
      <c r="A31" s="353"/>
      <c r="B31" s="354" t="s">
        <v>357</v>
      </c>
      <c r="C31" s="354" t="s">
        <v>355</v>
      </c>
      <c r="D31" s="355">
        <f>4.5*4.5</f>
        <v>20.25</v>
      </c>
      <c r="E31" s="562"/>
      <c r="F31" s="488">
        <f>(D31*E31)</f>
        <v>0</v>
      </c>
    </row>
    <row r="32" spans="1:6">
      <c r="A32" s="353"/>
      <c r="B32" s="354"/>
      <c r="C32" s="354"/>
      <c r="D32" s="355"/>
      <c r="E32" s="487"/>
      <c r="F32" s="488"/>
    </row>
    <row r="33" spans="1:6">
      <c r="A33" s="353"/>
      <c r="B33" s="354"/>
      <c r="C33" s="354"/>
      <c r="D33" s="355"/>
      <c r="E33" s="487"/>
      <c r="F33" s="488"/>
    </row>
    <row r="34" spans="1:6">
      <c r="A34" s="353">
        <v>6</v>
      </c>
      <c r="B34" s="354" t="s">
        <v>358</v>
      </c>
      <c r="E34" s="487"/>
      <c r="F34" s="488"/>
    </row>
    <row r="35" spans="1:6">
      <c r="A35" s="353"/>
      <c r="B35" s="354" t="s">
        <v>359</v>
      </c>
      <c r="C35" s="354" t="s">
        <v>355</v>
      </c>
      <c r="D35" s="355">
        <f>4.5*4.5*0.15</f>
        <v>3.0375000000000001</v>
      </c>
      <c r="E35" s="562"/>
      <c r="F35" s="488">
        <f>(D35*E35)</f>
        <v>0</v>
      </c>
    </row>
    <row r="36" spans="1:6">
      <c r="A36" s="353"/>
      <c r="B36" s="354"/>
      <c r="C36" s="354"/>
      <c r="D36" s="355"/>
      <c r="E36" s="487"/>
      <c r="F36" s="488"/>
    </row>
    <row r="37" spans="1:6">
      <c r="A37" s="353"/>
      <c r="B37" s="354"/>
      <c r="C37" s="354"/>
      <c r="D37" s="355"/>
      <c r="E37" s="487"/>
      <c r="F37" s="488"/>
    </row>
    <row r="38" spans="1:6">
      <c r="A38" s="353">
        <v>7</v>
      </c>
      <c r="B38" s="354" t="s">
        <v>360</v>
      </c>
      <c r="C38" s="354"/>
      <c r="D38" s="355"/>
      <c r="E38" s="487"/>
      <c r="F38" s="488"/>
    </row>
    <row r="39" spans="1:6">
      <c r="A39" s="353"/>
      <c r="B39" s="354" t="s">
        <v>477</v>
      </c>
      <c r="C39" s="354"/>
      <c r="D39" s="355"/>
      <c r="E39" s="487"/>
      <c r="F39" s="488"/>
    </row>
    <row r="40" spans="1:6">
      <c r="A40" s="353"/>
      <c r="B40" s="354" t="s">
        <v>361</v>
      </c>
      <c r="C40" s="354"/>
      <c r="D40" s="355"/>
      <c r="E40" s="487"/>
      <c r="F40" s="488"/>
    </row>
    <row r="41" spans="1:6">
      <c r="A41" s="353"/>
      <c r="B41" s="359" t="s">
        <v>362</v>
      </c>
      <c r="C41" s="354"/>
      <c r="D41" s="355"/>
      <c r="E41" s="487"/>
      <c r="F41" s="488"/>
    </row>
    <row r="42" spans="1:6">
      <c r="A42" s="353"/>
      <c r="B42" s="354"/>
      <c r="C42" s="354"/>
      <c r="D42" s="355"/>
      <c r="E42" s="487"/>
      <c r="F42" s="488"/>
    </row>
    <row r="43" spans="1:6">
      <c r="A43" s="353"/>
      <c r="B43" s="360" t="s">
        <v>363</v>
      </c>
      <c r="C43" s="354"/>
      <c r="D43" s="355"/>
      <c r="E43" s="487"/>
      <c r="F43" s="488"/>
    </row>
    <row r="44" spans="1:6">
      <c r="A44" s="353"/>
      <c r="B44" s="361" t="s">
        <v>364</v>
      </c>
      <c r="C44" s="354"/>
      <c r="D44" s="355"/>
      <c r="E44" s="487"/>
      <c r="F44" s="488"/>
    </row>
    <row r="45" spans="1:6">
      <c r="A45" s="353"/>
      <c r="B45" s="354" t="s">
        <v>365</v>
      </c>
      <c r="C45" s="354"/>
      <c r="D45" s="355"/>
      <c r="E45" s="487"/>
      <c r="F45" s="488"/>
    </row>
    <row r="46" spans="1:6">
      <c r="A46" s="353"/>
      <c r="B46" s="354" t="s">
        <v>366</v>
      </c>
      <c r="C46" s="354"/>
      <c r="D46" s="355"/>
      <c r="E46" s="487"/>
      <c r="F46" s="488"/>
    </row>
    <row r="47" spans="1:6">
      <c r="A47" s="353"/>
      <c r="B47" s="354" t="s">
        <v>367</v>
      </c>
      <c r="C47" s="354"/>
      <c r="D47" s="355"/>
      <c r="E47" s="487"/>
      <c r="F47" s="488"/>
    </row>
    <row r="48" spans="1:6">
      <c r="A48" s="353"/>
      <c r="B48" s="354" t="s">
        <v>368</v>
      </c>
      <c r="C48" s="354"/>
      <c r="D48" s="355"/>
      <c r="E48" s="487"/>
      <c r="F48" s="488"/>
    </row>
    <row r="49" spans="1:6">
      <c r="A49" s="353"/>
      <c r="B49" s="354" t="s">
        <v>369</v>
      </c>
      <c r="C49" s="354"/>
      <c r="D49" s="355"/>
      <c r="E49" s="487"/>
      <c r="F49" s="488"/>
    </row>
    <row r="50" spans="1:6">
      <c r="A50" s="353"/>
      <c r="B50" s="354" t="s">
        <v>370</v>
      </c>
      <c r="E50" s="487"/>
      <c r="F50" s="488"/>
    </row>
    <row r="51" spans="1:6">
      <c r="A51" s="353"/>
      <c r="B51" s="354" t="s">
        <v>371</v>
      </c>
      <c r="E51" s="487"/>
      <c r="F51" s="488"/>
    </row>
    <row r="52" spans="1:6">
      <c r="A52" s="353"/>
      <c r="B52" s="356" t="s">
        <v>372</v>
      </c>
      <c r="C52" s="354" t="s">
        <v>178</v>
      </c>
      <c r="D52" s="355">
        <v>1</v>
      </c>
      <c r="E52" s="562"/>
      <c r="F52" s="488">
        <f>(D52*E52)</f>
        <v>0</v>
      </c>
    </row>
    <row r="53" spans="1:6">
      <c r="A53" s="353"/>
      <c r="E53" s="487"/>
      <c r="F53" s="488"/>
    </row>
    <row r="54" spans="1:6">
      <c r="A54" s="353"/>
      <c r="B54" s="360" t="s">
        <v>373</v>
      </c>
      <c r="C54" s="354"/>
      <c r="D54" s="355"/>
      <c r="E54" s="487"/>
      <c r="F54" s="488"/>
    </row>
    <row r="55" spans="1:6">
      <c r="A55" s="353"/>
      <c r="B55" s="354" t="s">
        <v>374</v>
      </c>
      <c r="C55" s="354"/>
      <c r="D55" s="355"/>
      <c r="E55" s="487"/>
      <c r="F55" s="488"/>
    </row>
    <row r="56" spans="1:6">
      <c r="A56" s="353"/>
      <c r="B56" s="354" t="s">
        <v>493</v>
      </c>
      <c r="E56" s="487"/>
      <c r="F56" s="488"/>
    </row>
    <row r="57" spans="1:6">
      <c r="A57" s="353"/>
      <c r="B57" s="354" t="s">
        <v>497</v>
      </c>
      <c r="E57" s="487"/>
      <c r="F57" s="488"/>
    </row>
    <row r="58" spans="1:6">
      <c r="A58" s="353"/>
      <c r="B58" s="354" t="s">
        <v>375</v>
      </c>
      <c r="E58" s="487"/>
      <c r="F58" s="488"/>
    </row>
    <row r="59" spans="1:6">
      <c r="A59" s="353"/>
      <c r="B59" s="354" t="s">
        <v>498</v>
      </c>
      <c r="E59" s="487"/>
      <c r="F59" s="488"/>
    </row>
    <row r="60" spans="1:6">
      <c r="A60" s="353"/>
      <c r="B60" s="362" t="s">
        <v>376</v>
      </c>
      <c r="C60" s="354"/>
      <c r="D60" s="355"/>
      <c r="E60" s="487"/>
      <c r="F60" s="488"/>
    </row>
    <row r="61" spans="1:6">
      <c r="A61" s="353"/>
      <c r="B61" s="362" t="s">
        <v>377</v>
      </c>
      <c r="C61" s="354" t="s">
        <v>178</v>
      </c>
      <c r="D61" s="355">
        <v>1</v>
      </c>
      <c r="E61" s="562"/>
      <c r="F61" s="488">
        <f>(D61*E61)</f>
        <v>0</v>
      </c>
    </row>
    <row r="62" spans="1:6">
      <c r="A62" s="353"/>
      <c r="B62" s="354"/>
      <c r="C62" s="354"/>
      <c r="D62" s="355"/>
      <c r="E62" s="487"/>
      <c r="F62" s="488"/>
    </row>
    <row r="63" spans="1:6">
      <c r="A63" s="353"/>
      <c r="B63" s="360" t="s">
        <v>378</v>
      </c>
      <c r="C63" s="354"/>
      <c r="D63" s="355"/>
      <c r="E63" s="487"/>
      <c r="F63" s="488"/>
    </row>
    <row r="64" spans="1:6">
      <c r="A64" s="353"/>
      <c r="B64" s="354" t="s">
        <v>379</v>
      </c>
      <c r="C64" s="354"/>
      <c r="D64" s="355"/>
      <c r="E64" s="487"/>
      <c r="F64" s="488"/>
    </row>
    <row r="65" spans="1:6">
      <c r="A65" s="353"/>
      <c r="B65" s="354" t="s">
        <v>380</v>
      </c>
      <c r="C65" s="354" t="s">
        <v>178</v>
      </c>
      <c r="D65" s="355">
        <v>1</v>
      </c>
      <c r="E65" s="562"/>
      <c r="F65" s="488">
        <f>(D65*E65)</f>
        <v>0</v>
      </c>
    </row>
    <row r="66" spans="1:6">
      <c r="A66" s="353"/>
      <c r="B66" s="354"/>
      <c r="C66" s="354"/>
      <c r="D66" s="355"/>
      <c r="E66" s="487"/>
      <c r="F66" s="488"/>
    </row>
    <row r="67" spans="1:6">
      <c r="A67" s="353"/>
      <c r="B67" s="360" t="s">
        <v>381</v>
      </c>
      <c r="C67" s="354"/>
      <c r="D67" s="355"/>
      <c r="E67" s="487"/>
      <c r="F67" s="488"/>
    </row>
    <row r="68" spans="1:6">
      <c r="A68" s="353"/>
      <c r="B68" s="354" t="s">
        <v>382</v>
      </c>
      <c r="C68" s="354"/>
      <c r="D68" s="355"/>
      <c r="E68" s="487"/>
      <c r="F68" s="488"/>
    </row>
    <row r="69" spans="1:6">
      <c r="A69" s="353"/>
      <c r="B69" s="354" t="s">
        <v>383</v>
      </c>
      <c r="C69" s="354" t="s">
        <v>178</v>
      </c>
      <c r="D69" s="355">
        <v>1</v>
      </c>
      <c r="E69" s="562"/>
      <c r="F69" s="488">
        <f>(D69*E69)</f>
        <v>0</v>
      </c>
    </row>
    <row r="70" spans="1:6">
      <c r="A70" s="353"/>
      <c r="B70" s="354"/>
      <c r="C70" s="354"/>
      <c r="D70" s="355"/>
      <c r="E70" s="487"/>
      <c r="F70" s="488"/>
    </row>
    <row r="71" spans="1:6">
      <c r="A71" s="353"/>
      <c r="B71" s="360" t="s">
        <v>384</v>
      </c>
      <c r="C71" s="354"/>
      <c r="D71" s="355"/>
      <c r="E71" s="487"/>
      <c r="F71" s="488"/>
    </row>
    <row r="72" spans="1:6">
      <c r="A72" s="353"/>
      <c r="B72" s="354" t="s">
        <v>385</v>
      </c>
      <c r="C72" s="354"/>
      <c r="D72" s="355"/>
      <c r="E72" s="487"/>
      <c r="F72" s="488"/>
    </row>
    <row r="73" spans="1:6">
      <c r="A73" s="353"/>
      <c r="B73" s="354" t="s">
        <v>386</v>
      </c>
      <c r="C73" s="354"/>
      <c r="D73" s="355"/>
      <c r="E73" s="487"/>
      <c r="F73" s="488"/>
    </row>
    <row r="74" spans="1:6">
      <c r="A74" s="353"/>
      <c r="B74" s="354"/>
      <c r="C74" s="354"/>
      <c r="D74" s="355"/>
      <c r="E74" s="487"/>
      <c r="F74" s="488"/>
    </row>
    <row r="75" spans="1:6">
      <c r="A75" s="353"/>
      <c r="B75" s="354" t="s">
        <v>387</v>
      </c>
      <c r="C75" s="354" t="s">
        <v>178</v>
      </c>
      <c r="D75" s="355">
        <v>1</v>
      </c>
      <c r="E75" s="562"/>
      <c r="F75" s="488">
        <f>(D75*E75)</f>
        <v>0</v>
      </c>
    </row>
    <row r="76" spans="1:6">
      <c r="A76" s="353"/>
      <c r="B76" s="354"/>
      <c r="C76" s="354"/>
      <c r="D76" s="355"/>
      <c r="E76" s="487"/>
      <c r="F76" s="488"/>
    </row>
    <row r="77" spans="1:6">
      <c r="A77" s="353"/>
      <c r="B77" s="354" t="s">
        <v>388</v>
      </c>
      <c r="C77" s="354" t="s">
        <v>178</v>
      </c>
      <c r="D77" s="355">
        <v>1</v>
      </c>
      <c r="E77" s="562"/>
      <c r="F77" s="488">
        <f>(D77*E77)</f>
        <v>0</v>
      </c>
    </row>
    <row r="78" spans="1:6">
      <c r="A78" s="353"/>
      <c r="B78" s="354"/>
      <c r="C78" s="354"/>
      <c r="D78" s="355"/>
      <c r="E78" s="487"/>
      <c r="F78" s="488"/>
    </row>
    <row r="79" spans="1:6" ht="330.75">
      <c r="A79" s="363">
        <v>8</v>
      </c>
      <c r="B79" s="483" t="s">
        <v>508</v>
      </c>
      <c r="C79" s="484" t="s">
        <v>178</v>
      </c>
      <c r="D79" s="485">
        <v>2</v>
      </c>
      <c r="E79" s="489"/>
      <c r="F79" s="498"/>
    </row>
    <row r="80" spans="1:6">
      <c r="A80" s="353"/>
      <c r="B80" s="354"/>
      <c r="C80" s="354"/>
      <c r="D80" s="355"/>
      <c r="E80" s="487"/>
      <c r="F80" s="498"/>
    </row>
    <row r="81" spans="1:6">
      <c r="A81" s="353"/>
      <c r="B81" s="354" t="s">
        <v>478</v>
      </c>
      <c r="E81" s="487"/>
      <c r="F81" s="498"/>
    </row>
    <row r="82" spans="1:6">
      <c r="A82" s="353"/>
      <c r="B82" s="354" t="s">
        <v>479</v>
      </c>
      <c r="C82" s="354" t="s">
        <v>178</v>
      </c>
      <c r="D82" s="355">
        <v>2</v>
      </c>
      <c r="E82" s="487"/>
      <c r="F82" s="498"/>
    </row>
    <row r="83" spans="1:6">
      <c r="A83" s="353"/>
      <c r="B83" s="354"/>
      <c r="C83" s="354"/>
      <c r="D83" s="355"/>
      <c r="E83" s="487"/>
      <c r="F83" s="498"/>
    </row>
    <row r="84" spans="1:6">
      <c r="A84" s="353"/>
      <c r="B84" s="354" t="s">
        <v>480</v>
      </c>
      <c r="C84" s="354" t="s">
        <v>488</v>
      </c>
      <c r="D84" s="355">
        <v>2</v>
      </c>
      <c r="E84" s="487"/>
      <c r="F84" s="498"/>
    </row>
    <row r="85" spans="1:6">
      <c r="A85" s="353"/>
      <c r="B85" s="354"/>
      <c r="C85" s="354"/>
      <c r="D85" s="355"/>
      <c r="E85" s="487"/>
      <c r="F85" s="498"/>
    </row>
    <row r="86" spans="1:6">
      <c r="A86" s="353"/>
      <c r="B86" s="354" t="s">
        <v>481</v>
      </c>
      <c r="C86" s="354" t="s">
        <v>178</v>
      </c>
      <c r="D86" s="355">
        <v>2</v>
      </c>
      <c r="E86" s="487"/>
      <c r="F86" s="498"/>
    </row>
    <row r="87" spans="1:6">
      <c r="A87" s="353"/>
      <c r="B87" s="354"/>
      <c r="C87" s="354"/>
      <c r="D87" s="355"/>
      <c r="E87" s="487"/>
      <c r="F87" s="498"/>
    </row>
    <row r="88" spans="1:6" ht="31.5">
      <c r="A88" s="353"/>
      <c r="B88" s="374" t="s">
        <v>482</v>
      </c>
      <c r="C88" s="358" t="s">
        <v>178</v>
      </c>
      <c r="D88" s="472">
        <v>2</v>
      </c>
      <c r="E88" s="487"/>
      <c r="F88" s="498"/>
    </row>
    <row r="89" spans="1:6">
      <c r="A89" s="353"/>
      <c r="B89" s="354"/>
      <c r="C89" s="354"/>
      <c r="D89" s="355"/>
      <c r="E89" s="487"/>
      <c r="F89" s="498"/>
    </row>
    <row r="90" spans="1:6" ht="31.5">
      <c r="A90" s="353"/>
      <c r="B90" s="374" t="s">
        <v>389</v>
      </c>
      <c r="C90" s="358" t="s">
        <v>178</v>
      </c>
      <c r="D90" s="472">
        <v>2</v>
      </c>
      <c r="E90" s="487"/>
      <c r="F90" s="498"/>
    </row>
    <row r="91" spans="1:6">
      <c r="A91" s="353"/>
      <c r="B91" s="354"/>
      <c r="C91" s="354"/>
      <c r="D91" s="355"/>
      <c r="E91" s="487"/>
      <c r="F91" s="498"/>
    </row>
    <row r="92" spans="1:6" ht="31.5">
      <c r="A92" s="353"/>
      <c r="B92" s="364" t="s">
        <v>483</v>
      </c>
      <c r="C92" s="358" t="s">
        <v>178</v>
      </c>
      <c r="D92" s="365">
        <v>2</v>
      </c>
      <c r="E92" s="487"/>
      <c r="F92" s="498"/>
    </row>
    <row r="93" spans="1:6">
      <c r="A93" s="353"/>
      <c r="B93" s="364"/>
      <c r="C93" s="358"/>
      <c r="D93" s="365"/>
      <c r="E93" s="487"/>
      <c r="F93" s="498"/>
    </row>
    <row r="94" spans="1:6" ht="31.5">
      <c r="A94" s="353"/>
      <c r="B94" s="364" t="s">
        <v>484</v>
      </c>
      <c r="C94" s="358" t="s">
        <v>178</v>
      </c>
      <c r="D94" s="365">
        <v>2</v>
      </c>
      <c r="E94" s="487"/>
      <c r="F94" s="498"/>
    </row>
    <row r="95" spans="1:6">
      <c r="A95" s="353"/>
      <c r="B95" s="354"/>
      <c r="E95" s="487"/>
      <c r="F95" s="498"/>
    </row>
    <row r="96" spans="1:6" ht="31.5">
      <c r="A96" s="353"/>
      <c r="B96" s="364" t="s">
        <v>494</v>
      </c>
      <c r="C96" s="358" t="s">
        <v>178</v>
      </c>
      <c r="D96" s="365">
        <v>2</v>
      </c>
      <c r="E96" s="487"/>
      <c r="F96" s="498"/>
    </row>
    <row r="97" spans="1:6">
      <c r="A97" s="353"/>
      <c r="B97" s="354"/>
      <c r="E97" s="487"/>
      <c r="F97" s="498"/>
    </row>
    <row r="98" spans="1:6" ht="31.5">
      <c r="A98" s="353"/>
      <c r="B98" s="364" t="s">
        <v>485</v>
      </c>
      <c r="C98" s="358" t="s">
        <v>178</v>
      </c>
      <c r="D98" s="365">
        <v>2</v>
      </c>
      <c r="E98" s="487"/>
      <c r="F98" s="498"/>
    </row>
    <row r="99" spans="1:6">
      <c r="A99" s="353"/>
      <c r="B99" s="354"/>
      <c r="E99" s="487"/>
      <c r="F99" s="498"/>
    </row>
    <row r="100" spans="1:6" ht="31.5">
      <c r="A100" s="353"/>
      <c r="B100" s="364" t="s">
        <v>486</v>
      </c>
      <c r="C100" s="358" t="s">
        <v>178</v>
      </c>
      <c r="D100" s="472">
        <v>2</v>
      </c>
      <c r="E100" s="487"/>
      <c r="F100" s="498"/>
    </row>
    <row r="101" spans="1:6">
      <c r="A101" s="353"/>
      <c r="B101" s="354"/>
      <c r="C101" s="19"/>
      <c r="D101" s="19"/>
      <c r="E101" s="487"/>
      <c r="F101" s="498"/>
    </row>
    <row r="102" spans="1:6" ht="31.5">
      <c r="A102" s="353"/>
      <c r="B102" s="364" t="s">
        <v>487</v>
      </c>
      <c r="C102" s="358" t="s">
        <v>178</v>
      </c>
      <c r="D102" s="472">
        <v>2</v>
      </c>
      <c r="E102" s="487"/>
      <c r="F102" s="498"/>
    </row>
    <row r="103" spans="1:6">
      <c r="A103" s="353"/>
      <c r="B103" s="354"/>
      <c r="C103" s="354"/>
      <c r="D103" s="355"/>
      <c r="E103" s="487"/>
      <c r="F103" s="498"/>
    </row>
    <row r="104" spans="1:6">
      <c r="A104" s="353"/>
      <c r="B104" s="354" t="s">
        <v>390</v>
      </c>
      <c r="C104" s="354" t="s">
        <v>178</v>
      </c>
      <c r="D104" s="355">
        <v>2</v>
      </c>
      <c r="E104" s="487"/>
      <c r="F104" s="498"/>
    </row>
    <row r="105" spans="1:6">
      <c r="A105" s="353"/>
      <c r="B105" s="473" t="s">
        <v>391</v>
      </c>
      <c r="C105" s="474"/>
      <c r="D105" s="474"/>
      <c r="E105" s="487"/>
      <c r="F105" s="498"/>
    </row>
    <row r="106" spans="1:6">
      <c r="A106" s="353"/>
      <c r="B106" s="475" t="s">
        <v>392</v>
      </c>
      <c r="C106" s="475" t="s">
        <v>257</v>
      </c>
      <c r="D106" s="476">
        <v>1</v>
      </c>
      <c r="E106" s="563"/>
      <c r="F106" s="490">
        <f>D106*E106</f>
        <v>0</v>
      </c>
    </row>
    <row r="107" spans="1:6">
      <c r="A107" s="353"/>
      <c r="B107" s="354"/>
      <c r="C107" s="354"/>
      <c r="D107" s="355"/>
      <c r="E107" s="487"/>
      <c r="F107" s="488"/>
    </row>
    <row r="108" spans="1:6" ht="110.25">
      <c r="A108" s="353" t="s">
        <v>506</v>
      </c>
      <c r="B108" s="482" t="s">
        <v>507</v>
      </c>
      <c r="C108" s="354" t="s">
        <v>178</v>
      </c>
      <c r="D108" s="355">
        <v>2</v>
      </c>
      <c r="E108" s="562"/>
      <c r="F108" s="488">
        <f>(D108*E108)</f>
        <v>0</v>
      </c>
    </row>
    <row r="109" spans="1:6">
      <c r="A109" s="353"/>
      <c r="B109" s="354"/>
      <c r="C109" s="354"/>
      <c r="D109" s="355"/>
      <c r="E109" s="487"/>
      <c r="F109" s="488"/>
    </row>
    <row r="110" spans="1:6">
      <c r="A110" s="353">
        <v>9</v>
      </c>
      <c r="B110" s="354" t="s">
        <v>394</v>
      </c>
      <c r="C110" s="354"/>
      <c r="D110" s="355"/>
      <c r="E110" s="487"/>
      <c r="F110" s="488"/>
    </row>
    <row r="111" spans="1:6">
      <c r="A111" s="353"/>
      <c r="B111" s="354" t="s">
        <v>395</v>
      </c>
      <c r="C111" s="354"/>
      <c r="D111" s="355"/>
      <c r="E111" s="487"/>
      <c r="F111" s="488"/>
    </row>
    <row r="112" spans="1:6">
      <c r="A112" s="353"/>
      <c r="B112" s="354"/>
      <c r="E112" s="487"/>
      <c r="F112" s="488"/>
    </row>
    <row r="113" spans="1:6">
      <c r="A113" s="353"/>
      <c r="B113" s="354" t="s">
        <v>396</v>
      </c>
      <c r="C113" s="354" t="s">
        <v>178</v>
      </c>
      <c r="D113" s="355">
        <v>1</v>
      </c>
      <c r="E113" s="562"/>
      <c r="F113" s="488">
        <f>(D113*E113)</f>
        <v>0</v>
      </c>
    </row>
    <row r="114" spans="1:6">
      <c r="A114" s="353"/>
      <c r="B114" s="354"/>
      <c r="C114" s="354"/>
      <c r="D114" s="355"/>
      <c r="E114" s="491"/>
      <c r="F114" s="488"/>
    </row>
    <row r="115" spans="1:6">
      <c r="A115" s="353"/>
      <c r="B115" s="354" t="s">
        <v>397</v>
      </c>
      <c r="E115" s="491"/>
      <c r="F115" s="488"/>
    </row>
    <row r="116" spans="1:6">
      <c r="A116" s="353"/>
      <c r="B116" s="354" t="s">
        <v>398</v>
      </c>
      <c r="C116" s="354" t="s">
        <v>178</v>
      </c>
      <c r="D116" s="355">
        <v>1</v>
      </c>
      <c r="E116" s="562"/>
      <c r="F116" s="488">
        <f>(D116*E116)</f>
        <v>0</v>
      </c>
    </row>
    <row r="117" spans="1:6">
      <c r="A117" s="353"/>
      <c r="B117" s="354"/>
      <c r="C117" s="354"/>
      <c r="D117" s="355"/>
      <c r="E117" s="487"/>
      <c r="F117" s="488"/>
    </row>
    <row r="118" spans="1:6">
      <c r="A118" s="353"/>
      <c r="B118" s="354"/>
      <c r="C118" s="354"/>
      <c r="D118" s="355"/>
      <c r="E118" s="487"/>
      <c r="F118" s="488"/>
    </row>
    <row r="119" spans="1:6">
      <c r="A119" s="353">
        <v>10</v>
      </c>
      <c r="B119" s="354" t="s">
        <v>399</v>
      </c>
      <c r="C119" s="354"/>
      <c r="D119" s="355"/>
      <c r="E119" s="487"/>
      <c r="F119" s="488"/>
    </row>
    <row r="120" spans="1:6">
      <c r="A120" s="353"/>
      <c r="B120" s="354" t="s">
        <v>400</v>
      </c>
      <c r="C120" s="354"/>
      <c r="D120" s="355"/>
      <c r="E120" s="487"/>
      <c r="F120" s="488"/>
    </row>
    <row r="121" spans="1:6">
      <c r="A121" s="353"/>
      <c r="B121" s="354" t="s">
        <v>401</v>
      </c>
      <c r="C121" s="354"/>
      <c r="D121" s="355"/>
      <c r="E121" s="487"/>
      <c r="F121" s="488"/>
    </row>
    <row r="122" spans="1:6">
      <c r="A122" s="353"/>
      <c r="B122" s="354" t="s">
        <v>402</v>
      </c>
      <c r="C122" s="354"/>
      <c r="D122" s="355"/>
      <c r="E122" s="487"/>
      <c r="F122" s="488"/>
    </row>
    <row r="123" spans="1:6">
      <c r="A123" s="353"/>
      <c r="B123" s="354"/>
      <c r="C123" s="354"/>
      <c r="D123" s="355"/>
      <c r="E123" s="487"/>
      <c r="F123" s="488"/>
    </row>
    <row r="124" spans="1:6">
      <c r="A124" s="353"/>
      <c r="B124" s="354" t="s">
        <v>403</v>
      </c>
      <c r="C124" s="354" t="s">
        <v>178</v>
      </c>
      <c r="D124" s="355">
        <v>1</v>
      </c>
      <c r="E124" s="562"/>
      <c r="F124" s="488">
        <f>(D124*E124)</f>
        <v>0</v>
      </c>
    </row>
    <row r="125" spans="1:6">
      <c r="A125" s="353"/>
      <c r="B125" s="354"/>
      <c r="C125" s="354"/>
      <c r="D125" s="355"/>
      <c r="E125" s="487"/>
      <c r="F125" s="488"/>
    </row>
    <row r="126" spans="1:6">
      <c r="A126" s="353"/>
      <c r="B126" s="354" t="s">
        <v>404</v>
      </c>
      <c r="C126" s="354" t="s">
        <v>178</v>
      </c>
      <c r="D126" s="355">
        <v>2</v>
      </c>
      <c r="E126" s="562"/>
      <c r="F126" s="488">
        <f>(D126*E126)</f>
        <v>0</v>
      </c>
    </row>
    <row r="127" spans="1:6">
      <c r="A127" s="353"/>
      <c r="B127" s="354"/>
      <c r="C127" s="354"/>
      <c r="D127" s="355"/>
      <c r="E127" s="487"/>
      <c r="F127" s="488"/>
    </row>
    <row r="128" spans="1:6">
      <c r="A128" s="353"/>
      <c r="B128" s="354" t="s">
        <v>489</v>
      </c>
      <c r="E128" s="487"/>
      <c r="F128" s="488"/>
    </row>
    <row r="129" spans="1:6">
      <c r="A129" s="353"/>
      <c r="B129" s="354" t="s">
        <v>490</v>
      </c>
      <c r="C129" s="354" t="s">
        <v>178</v>
      </c>
      <c r="D129" s="355">
        <v>1</v>
      </c>
      <c r="E129" s="562"/>
      <c r="F129" s="488">
        <f>(D129*E129)</f>
        <v>0</v>
      </c>
    </row>
    <row r="130" spans="1:6">
      <c r="A130" s="366"/>
      <c r="B130" s="367"/>
      <c r="C130" s="367"/>
      <c r="D130" s="368"/>
      <c r="E130" s="487"/>
      <c r="F130" s="488"/>
    </row>
    <row r="131" spans="1:6">
      <c r="A131" s="353"/>
      <c r="B131" s="354"/>
      <c r="C131" s="354"/>
      <c r="D131" s="355"/>
      <c r="E131" s="487"/>
      <c r="F131" s="488"/>
    </row>
    <row r="132" spans="1:6">
      <c r="A132" s="353">
        <v>11</v>
      </c>
      <c r="B132" s="354" t="s">
        <v>405</v>
      </c>
      <c r="C132" s="354"/>
      <c r="D132" s="355"/>
      <c r="E132" s="487"/>
      <c r="F132" s="488"/>
    </row>
    <row r="133" spans="1:6">
      <c r="A133" s="353"/>
      <c r="B133" s="354" t="s">
        <v>406</v>
      </c>
      <c r="C133" s="354"/>
      <c r="D133" s="355"/>
      <c r="E133" s="487"/>
      <c r="F133" s="488"/>
    </row>
    <row r="134" spans="1:6">
      <c r="A134" s="353"/>
      <c r="B134" s="354" t="s">
        <v>407</v>
      </c>
      <c r="E134" s="487"/>
      <c r="F134" s="488"/>
    </row>
    <row r="135" spans="1:6">
      <c r="A135" s="353"/>
      <c r="B135" s="354" t="s">
        <v>408</v>
      </c>
      <c r="E135" s="487"/>
      <c r="F135" s="488"/>
    </row>
    <row r="136" spans="1:6">
      <c r="A136" s="353"/>
      <c r="B136" s="354" t="s">
        <v>409</v>
      </c>
      <c r="E136" s="487"/>
      <c r="F136" s="488"/>
    </row>
    <row r="137" spans="1:6">
      <c r="A137" s="353"/>
      <c r="B137" s="354" t="s">
        <v>410</v>
      </c>
      <c r="C137" s="354"/>
      <c r="D137" s="355"/>
      <c r="E137" s="487"/>
      <c r="F137" s="488"/>
    </row>
    <row r="138" spans="1:6">
      <c r="A138" s="353"/>
      <c r="B138" s="354" t="s">
        <v>411</v>
      </c>
      <c r="C138" s="354" t="s">
        <v>178</v>
      </c>
      <c r="D138" s="355">
        <v>1</v>
      </c>
      <c r="E138" s="562"/>
      <c r="F138" s="488">
        <f>(D138*E138)</f>
        <v>0</v>
      </c>
    </row>
    <row r="139" spans="1:6">
      <c r="A139" s="353"/>
      <c r="B139" s="354"/>
      <c r="E139" s="487"/>
      <c r="F139" s="488"/>
    </row>
    <row r="140" spans="1:6">
      <c r="A140" s="353"/>
      <c r="B140" s="354"/>
      <c r="C140" s="354"/>
      <c r="D140" s="355"/>
      <c r="E140" s="487"/>
      <c r="F140" s="488"/>
    </row>
    <row r="141" spans="1:6">
      <c r="A141" s="353">
        <v>12</v>
      </c>
      <c r="B141" s="354" t="s">
        <v>412</v>
      </c>
      <c r="E141" s="487"/>
      <c r="F141" s="488"/>
    </row>
    <row r="142" spans="1:6">
      <c r="B142" s="354" t="s">
        <v>491</v>
      </c>
      <c r="E142" s="487"/>
      <c r="F142" s="488"/>
    </row>
    <row r="143" spans="1:6">
      <c r="A143" s="353"/>
      <c r="B143" s="354" t="s">
        <v>413</v>
      </c>
      <c r="C143" s="354" t="s">
        <v>347</v>
      </c>
      <c r="D143" s="355">
        <f>(D15+D17)-16</f>
        <v>71.074999999999989</v>
      </c>
      <c r="E143" s="562"/>
      <c r="F143" s="488">
        <f>(D143*E143)</f>
        <v>0</v>
      </c>
    </row>
    <row r="144" spans="1:6">
      <c r="A144" s="353"/>
      <c r="B144" s="354"/>
      <c r="C144" s="354"/>
      <c r="D144" s="355"/>
      <c r="E144" s="487"/>
      <c r="F144" s="488"/>
    </row>
    <row r="145" spans="1:6">
      <c r="B145" s="354"/>
      <c r="E145" s="487"/>
      <c r="F145" s="488"/>
    </row>
    <row r="146" spans="1:6">
      <c r="A146" s="353">
        <v>13</v>
      </c>
      <c r="B146" s="354" t="s">
        <v>414</v>
      </c>
      <c r="D146" s="355"/>
      <c r="E146" s="487"/>
      <c r="F146" s="488"/>
    </row>
    <row r="147" spans="1:6">
      <c r="A147" s="353"/>
      <c r="B147" s="354" t="s">
        <v>415</v>
      </c>
      <c r="E147" s="487"/>
      <c r="F147" s="488"/>
    </row>
    <row r="148" spans="1:6">
      <c r="B148" s="354" t="s">
        <v>416</v>
      </c>
      <c r="C148" s="354" t="s">
        <v>347</v>
      </c>
      <c r="D148" s="355">
        <f>((D15+D17)-D143)*1.25</f>
        <v>20</v>
      </c>
      <c r="E148" s="562"/>
      <c r="F148" s="488">
        <f>(D148*E148)</f>
        <v>0</v>
      </c>
    </row>
    <row r="149" spans="1:6">
      <c r="B149" s="354"/>
      <c r="C149" s="354"/>
      <c r="D149" s="355"/>
      <c r="E149" s="487"/>
      <c r="F149" s="488"/>
    </row>
    <row r="150" spans="1:6">
      <c r="B150" s="354"/>
      <c r="E150" s="487"/>
      <c r="F150" s="488"/>
    </row>
    <row r="151" spans="1:6">
      <c r="A151" s="353">
        <v>14</v>
      </c>
      <c r="B151" s="354" t="s">
        <v>503</v>
      </c>
      <c r="D151" s="355"/>
      <c r="E151" s="487"/>
      <c r="F151" s="488"/>
    </row>
    <row r="152" spans="1:6">
      <c r="A152" s="353"/>
      <c r="B152" s="354" t="s">
        <v>504</v>
      </c>
      <c r="C152" s="354"/>
      <c r="D152" s="355"/>
      <c r="E152" s="487"/>
      <c r="F152" s="488"/>
    </row>
    <row r="153" spans="1:6">
      <c r="A153" s="353"/>
      <c r="B153" s="354" t="s">
        <v>417</v>
      </c>
      <c r="D153" s="355"/>
      <c r="E153" s="487"/>
      <c r="F153" s="488"/>
    </row>
    <row r="154" spans="1:6">
      <c r="A154" s="353"/>
      <c r="B154" s="354" t="s">
        <v>418</v>
      </c>
      <c r="C154" s="354" t="s">
        <v>178</v>
      </c>
      <c r="D154" s="355">
        <v>1</v>
      </c>
      <c r="E154" s="562"/>
      <c r="F154" s="488">
        <f>(D154*E154)</f>
        <v>0</v>
      </c>
    </row>
    <row r="155" spans="1:6">
      <c r="A155" s="353"/>
      <c r="B155" s="354"/>
      <c r="C155" s="354"/>
      <c r="D155" s="355"/>
      <c r="E155" s="487"/>
      <c r="F155" s="488"/>
    </row>
    <row r="156" spans="1:6">
      <c r="A156" s="353"/>
      <c r="B156" s="354"/>
      <c r="C156" s="354"/>
      <c r="D156" s="355"/>
      <c r="E156" s="487"/>
      <c r="F156" s="488"/>
    </row>
    <row r="157" spans="1:6" ht="78.75">
      <c r="A157" s="363">
        <v>15</v>
      </c>
      <c r="B157" s="369" t="s">
        <v>419</v>
      </c>
      <c r="C157" s="370" t="s">
        <v>297</v>
      </c>
      <c r="D157" s="365">
        <v>160</v>
      </c>
      <c r="E157" s="561"/>
      <c r="F157" s="493">
        <f>(D157*E157)</f>
        <v>0</v>
      </c>
    </row>
    <row r="158" spans="1:6" ht="16.5">
      <c r="A158" s="363"/>
      <c r="B158" s="369"/>
      <c r="C158" s="370"/>
      <c r="D158" s="365"/>
      <c r="E158" s="492"/>
      <c r="F158" s="493"/>
    </row>
    <row r="159" spans="1:6" ht="16.5">
      <c r="A159" s="363"/>
      <c r="B159" s="371"/>
      <c r="C159" s="372"/>
      <c r="D159" s="373"/>
      <c r="E159" s="494"/>
      <c r="F159" s="495"/>
    </row>
    <row r="160" spans="1:6" ht="78.75">
      <c r="A160" s="363">
        <v>16</v>
      </c>
      <c r="B160" s="374" t="s">
        <v>420</v>
      </c>
      <c r="C160" s="370" t="s">
        <v>355</v>
      </c>
      <c r="D160" s="365">
        <v>0.8</v>
      </c>
      <c r="E160" s="561"/>
      <c r="F160" s="493">
        <f>(D160*E160)</f>
        <v>0</v>
      </c>
    </row>
    <row r="161" spans="1:6" ht="16.5">
      <c r="A161" s="363"/>
      <c r="B161" s="371"/>
      <c r="C161" s="372"/>
      <c r="D161" s="373"/>
      <c r="E161" s="494"/>
      <c r="F161" s="495"/>
    </row>
    <row r="162" spans="1:6" ht="16.5">
      <c r="A162" s="363"/>
      <c r="B162" s="371"/>
      <c r="C162" s="372"/>
      <c r="D162" s="373"/>
      <c r="E162" s="494"/>
      <c r="F162" s="495"/>
    </row>
    <row r="163" spans="1:6" ht="63">
      <c r="A163" s="363">
        <v>17</v>
      </c>
      <c r="B163" s="374" t="s">
        <v>492</v>
      </c>
      <c r="C163" s="370" t="s">
        <v>257</v>
      </c>
      <c r="D163" s="365">
        <v>1</v>
      </c>
      <c r="E163" s="561"/>
      <c r="F163" s="493">
        <f>(D163*E163)</f>
        <v>0</v>
      </c>
    </row>
    <row r="164" spans="1:6" ht="16.5">
      <c r="A164" s="363"/>
      <c r="B164" s="371"/>
      <c r="C164" s="372"/>
      <c r="D164" s="373"/>
      <c r="E164" s="494"/>
      <c r="F164" s="495"/>
    </row>
    <row r="165" spans="1:6">
      <c r="A165" s="375"/>
      <c r="B165" s="372"/>
      <c r="C165" s="372"/>
      <c r="D165" s="373"/>
      <c r="E165" s="494"/>
      <c r="F165" s="495"/>
    </row>
    <row r="166" spans="1:6">
      <c r="A166" s="439" t="s">
        <v>441</v>
      </c>
      <c r="B166" s="440" t="s">
        <v>421</v>
      </c>
      <c r="C166" s="440" t="s">
        <v>393</v>
      </c>
      <c r="D166" s="441"/>
      <c r="E166" s="496"/>
      <c r="F166" s="497">
        <f>SUM(F5:F164)</f>
        <v>0</v>
      </c>
    </row>
    <row r="167" spans="1:6">
      <c r="A167" s="376"/>
      <c r="B167" s="360"/>
      <c r="E167" s="487"/>
      <c r="F167" s="488"/>
    </row>
    <row r="168" spans="1:6">
      <c r="A168" s="376"/>
    </row>
    <row r="172" spans="1:6">
      <c r="E172" s="355"/>
    </row>
    <row r="173" spans="1:6">
      <c r="E173" s="355"/>
    </row>
    <row r="178" spans="5:5">
      <c r="E178" s="355"/>
    </row>
    <row r="179" spans="5:5">
      <c r="E179" s="355"/>
    </row>
    <row r="180" spans="5:5">
      <c r="E180" s="355"/>
    </row>
    <row r="222" spans="5:5">
      <c r="E222" s="355"/>
    </row>
    <row r="227" spans="5:5">
      <c r="E227" s="355"/>
    </row>
    <row r="228" spans="5:5">
      <c r="E228" s="355"/>
    </row>
    <row r="229" spans="5:5">
      <c r="E229" s="355"/>
    </row>
    <row r="230" spans="5:5">
      <c r="E230" s="355"/>
    </row>
    <row r="231" spans="5:5">
      <c r="E231" s="355"/>
    </row>
    <row r="232" spans="5:5">
      <c r="E232" s="355"/>
    </row>
    <row r="233" spans="5:5">
      <c r="E233" s="355"/>
    </row>
    <row r="234" spans="5:5">
      <c r="E234" s="355"/>
    </row>
  </sheetData>
  <sheetProtection algorithmName="SHA-512" hashValue="3PxaLg4P2Z8gM92PF1TGw8DLr7sK8RAg3UIC2KAsZYUQh7QI2H3vZuXECsrppLgiR6l73fXtnhzynBEPGaD8Zw==" saltValue="nYHJQjf14zb1VmN7/Cyfm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3" manualBreakCount="3">
    <brk id="36" max="16383" man="1"/>
    <brk id="77" max="16383" man="1"/>
    <brk id="1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U140"/>
  <sheetViews>
    <sheetView view="pageBreakPreview" zoomScaleNormal="100" zoomScaleSheetLayoutView="100" workbookViewId="0">
      <selection activeCell="B10" sqref="B10"/>
    </sheetView>
  </sheetViews>
  <sheetFormatPr defaultColWidth="9.140625" defaultRowHeight="12.75"/>
  <cols>
    <col min="1" max="1" width="4.5703125" style="425" bestFit="1" customWidth="1"/>
    <col min="2" max="2" width="46.85546875" style="270" customWidth="1"/>
    <col min="3" max="3" width="5.85546875" style="265" customWidth="1"/>
    <col min="4" max="4" width="7.42578125" style="338" customWidth="1"/>
    <col min="5" max="5" width="10.85546875" style="266" customWidth="1"/>
    <col min="6" max="6" width="13.42578125" style="266" customWidth="1"/>
    <col min="7" max="16384" width="9.140625" style="265"/>
  </cols>
  <sheetData>
    <row r="1" spans="1:6">
      <c r="A1" s="423"/>
      <c r="B1" s="268"/>
      <c r="C1" s="269"/>
      <c r="D1" s="337"/>
    </row>
    <row r="2" spans="1:6" ht="15.75">
      <c r="A2" s="424"/>
      <c r="B2" s="442" t="s">
        <v>442</v>
      </c>
    </row>
    <row r="3" spans="1:6">
      <c r="E3" s="267"/>
      <c r="F3" s="267"/>
    </row>
    <row r="4" spans="1:6" s="271" customFormat="1">
      <c r="A4" s="477" t="s">
        <v>207</v>
      </c>
      <c r="B4" s="478" t="s">
        <v>208</v>
      </c>
      <c r="C4" s="479" t="s">
        <v>209</v>
      </c>
      <c r="D4" s="480" t="s">
        <v>210</v>
      </c>
      <c r="E4" s="481" t="s">
        <v>211</v>
      </c>
      <c r="F4" s="481" t="s">
        <v>212</v>
      </c>
    </row>
    <row r="5" spans="1:6" s="270" customFormat="1">
      <c r="A5" s="272"/>
      <c r="D5" s="339"/>
      <c r="E5" s="273" t="str">
        <f>IF(AND(ISNUMBER(#REF!),ISNUMBER(#REF!)),ROUND((#REF!*#REF!+#REF!*#REF!*#REF!)*(1+#REF!)*#REF!*#REF!*#REF!,2)," ")</f>
        <v xml:space="preserve"> </v>
      </c>
      <c r="F5" s="273" t="str">
        <f>IF(AND(ISNUMBER(C5),ISNUMBER(E5)),C5*E5," ")</f>
        <v xml:space="preserve"> </v>
      </c>
    </row>
    <row r="6" spans="1:6" s="275" customFormat="1">
      <c r="A6" s="426" t="s">
        <v>213</v>
      </c>
      <c r="B6" s="274" t="s">
        <v>214</v>
      </c>
      <c r="D6" s="278"/>
      <c r="E6" s="276"/>
      <c r="F6" s="276"/>
    </row>
    <row r="7" spans="1:6" s="275" customFormat="1">
      <c r="A7" s="427"/>
      <c r="B7" s="277"/>
      <c r="C7" s="278"/>
      <c r="D7" s="278"/>
      <c r="E7" s="279"/>
      <c r="F7" s="280"/>
    </row>
    <row r="8" spans="1:6" s="270" customFormat="1">
      <c r="A8" s="428"/>
      <c r="B8" s="281" t="s">
        <v>215</v>
      </c>
      <c r="C8" s="282"/>
      <c r="D8" s="334"/>
      <c r="E8" s="273" t="str">
        <f>IF(AND(ISNUMBER(#REF!),ISNUMBER(#REF!)),ROUND((#REF!*#REF!+#REF!*#REF!*#REF!)*(1+#REF!)*#REF!*#REF!*#REF!,2)," ")</f>
        <v xml:space="preserve"> </v>
      </c>
      <c r="F8" s="273"/>
    </row>
    <row r="9" spans="1:6" s="270" customFormat="1">
      <c r="A9" s="428"/>
      <c r="B9" s="283"/>
      <c r="C9" s="284"/>
      <c r="D9" s="334"/>
      <c r="E9" s="273" t="str">
        <f>IF(AND(ISNUMBER(#REF!),ISNUMBER(#REF!)),ROUND((#REF!*#REF!+#REF!*#REF!*#REF!)*(1+#REF!)*#REF!*#REF!*#REF!,2)," ")</f>
        <v xml:space="preserve"> </v>
      </c>
      <c r="F9" s="273"/>
    </row>
    <row r="10" spans="1:6" s="287" customFormat="1" ht="38.25">
      <c r="A10" s="428" t="s">
        <v>216</v>
      </c>
      <c r="B10" s="285" t="s">
        <v>217</v>
      </c>
      <c r="C10" s="286">
        <v>1</v>
      </c>
      <c r="D10" s="313" t="s">
        <v>178</v>
      </c>
      <c r="E10" s="527"/>
      <c r="F10" s="500" t="str">
        <f>IF(AND(ISNUMBER(C10),ISNUMBER(E10)),C10*E10," ")</f>
        <v xml:space="preserve"> </v>
      </c>
    </row>
    <row r="11" spans="1:6" s="287" customFormat="1" ht="38.25">
      <c r="A11" s="428" t="s">
        <v>216</v>
      </c>
      <c r="B11" s="283" t="s">
        <v>218</v>
      </c>
      <c r="C11" s="286">
        <v>1</v>
      </c>
      <c r="D11" s="313" t="s">
        <v>178</v>
      </c>
      <c r="E11" s="528"/>
      <c r="F11" s="500" t="str">
        <f t="shared" ref="F11:F60" si="0">IF(AND(ISNUMBER(C11),ISNUMBER(E11)),C11*E11," ")</f>
        <v xml:space="preserve"> </v>
      </c>
    </row>
    <row r="12" spans="1:6" s="287" customFormat="1" ht="25.5">
      <c r="A12" s="428" t="s">
        <v>216</v>
      </c>
      <c r="B12" s="283" t="s">
        <v>219</v>
      </c>
      <c r="C12" s="286">
        <v>1</v>
      </c>
      <c r="D12" s="313" t="s">
        <v>178</v>
      </c>
      <c r="E12" s="527"/>
      <c r="F12" s="500" t="str">
        <f t="shared" si="0"/>
        <v xml:space="preserve"> </v>
      </c>
    </row>
    <row r="13" spans="1:6" s="287" customFormat="1" ht="25.5">
      <c r="A13" s="428" t="s">
        <v>216</v>
      </c>
      <c r="B13" s="283" t="s">
        <v>220</v>
      </c>
      <c r="C13" s="286">
        <v>1</v>
      </c>
      <c r="D13" s="313" t="s">
        <v>178</v>
      </c>
      <c r="E13" s="527"/>
      <c r="F13" s="500" t="str">
        <f t="shared" si="0"/>
        <v xml:space="preserve"> </v>
      </c>
    </row>
    <row r="14" spans="1:6" s="287" customFormat="1" ht="25.5">
      <c r="A14" s="428" t="s">
        <v>216</v>
      </c>
      <c r="B14" s="283" t="s">
        <v>221</v>
      </c>
      <c r="C14" s="286">
        <v>1</v>
      </c>
      <c r="D14" s="313" t="s">
        <v>178</v>
      </c>
      <c r="E14" s="527"/>
      <c r="F14" s="500" t="str">
        <f t="shared" si="0"/>
        <v xml:space="preserve"> </v>
      </c>
    </row>
    <row r="15" spans="1:6" s="287" customFormat="1" ht="25.5">
      <c r="A15" s="428" t="s">
        <v>216</v>
      </c>
      <c r="B15" s="283" t="s">
        <v>222</v>
      </c>
      <c r="C15" s="286">
        <v>10</v>
      </c>
      <c r="D15" s="313" t="s">
        <v>178</v>
      </c>
      <c r="E15" s="527"/>
      <c r="F15" s="500" t="str">
        <f t="shared" si="0"/>
        <v xml:space="preserve"> </v>
      </c>
    </row>
    <row r="16" spans="1:6" s="287" customFormat="1" ht="25.5">
      <c r="A16" s="428" t="s">
        <v>216</v>
      </c>
      <c r="B16" s="283" t="s">
        <v>223</v>
      </c>
      <c r="C16" s="286">
        <v>2</v>
      </c>
      <c r="D16" s="313" t="s">
        <v>178</v>
      </c>
      <c r="E16" s="527"/>
      <c r="F16" s="500" t="str">
        <f t="shared" si="0"/>
        <v xml:space="preserve"> </v>
      </c>
    </row>
    <row r="17" spans="1:6" s="287" customFormat="1" ht="25.5">
      <c r="A17" s="428" t="s">
        <v>216</v>
      </c>
      <c r="B17" s="283" t="s">
        <v>224</v>
      </c>
      <c r="C17" s="286">
        <v>2</v>
      </c>
      <c r="D17" s="313" t="s">
        <v>178</v>
      </c>
      <c r="E17" s="527"/>
      <c r="F17" s="500" t="str">
        <f t="shared" si="0"/>
        <v xml:space="preserve"> </v>
      </c>
    </row>
    <row r="18" spans="1:6" s="287" customFormat="1">
      <c r="A18" s="428" t="s">
        <v>216</v>
      </c>
      <c r="B18" s="288" t="s">
        <v>225</v>
      </c>
      <c r="C18" s="286">
        <v>2</v>
      </c>
      <c r="D18" s="313" t="s">
        <v>6</v>
      </c>
      <c r="E18" s="527"/>
      <c r="F18" s="500" t="str">
        <f t="shared" si="0"/>
        <v xml:space="preserve"> </v>
      </c>
    </row>
    <row r="19" spans="1:6" s="291" customFormat="1" ht="25.5">
      <c r="A19" s="429" t="s">
        <v>216</v>
      </c>
      <c r="B19" s="289" t="s">
        <v>226</v>
      </c>
      <c r="C19" s="290">
        <v>1</v>
      </c>
      <c r="D19" s="340" t="s">
        <v>6</v>
      </c>
      <c r="E19" s="527"/>
      <c r="F19" s="500" t="str">
        <f t="shared" si="0"/>
        <v xml:space="preserve"> </v>
      </c>
    </row>
    <row r="20" spans="1:6" s="270" customFormat="1" ht="25.5">
      <c r="A20" s="428" t="s">
        <v>216</v>
      </c>
      <c r="B20" s="283" t="s">
        <v>227</v>
      </c>
      <c r="C20" s="286">
        <v>1</v>
      </c>
      <c r="D20" s="313" t="s">
        <v>178</v>
      </c>
      <c r="E20" s="527"/>
      <c r="F20" s="500" t="str">
        <f t="shared" si="0"/>
        <v xml:space="preserve"> </v>
      </c>
    </row>
    <row r="21" spans="1:6" s="287" customFormat="1">
      <c r="A21" s="428" t="s">
        <v>216</v>
      </c>
      <c r="B21" s="283" t="s">
        <v>228</v>
      </c>
      <c r="C21" s="286">
        <v>2</v>
      </c>
      <c r="D21" s="313" t="s">
        <v>178</v>
      </c>
      <c r="E21" s="527"/>
      <c r="F21" s="500" t="str">
        <f t="shared" si="0"/>
        <v xml:space="preserve"> </v>
      </c>
    </row>
    <row r="22" spans="1:6" s="287" customFormat="1" ht="25.5">
      <c r="A22" s="428" t="s">
        <v>216</v>
      </c>
      <c r="B22" s="283" t="s">
        <v>229</v>
      </c>
      <c r="C22" s="286">
        <v>1</v>
      </c>
      <c r="D22" s="313" t="s">
        <v>178</v>
      </c>
      <c r="E22" s="527"/>
      <c r="F22" s="500" t="str">
        <f t="shared" si="0"/>
        <v xml:space="preserve"> </v>
      </c>
    </row>
    <row r="23" spans="1:6" s="287" customFormat="1">
      <c r="A23" s="428" t="s">
        <v>216</v>
      </c>
      <c r="B23" s="283" t="s">
        <v>230</v>
      </c>
      <c r="C23" s="286">
        <v>1</v>
      </c>
      <c r="D23" s="313" t="s">
        <v>178</v>
      </c>
      <c r="E23" s="527"/>
      <c r="F23" s="500" t="str">
        <f t="shared" si="0"/>
        <v xml:space="preserve"> </v>
      </c>
    </row>
    <row r="24" spans="1:6" s="287" customFormat="1">
      <c r="A24" s="428" t="s">
        <v>216</v>
      </c>
      <c r="B24" s="288" t="s">
        <v>231</v>
      </c>
      <c r="C24" s="286">
        <v>1</v>
      </c>
      <c r="D24" s="313" t="s">
        <v>178</v>
      </c>
      <c r="E24" s="527"/>
      <c r="F24" s="500" t="str">
        <f t="shared" si="0"/>
        <v xml:space="preserve"> </v>
      </c>
    </row>
    <row r="25" spans="1:6" s="287" customFormat="1">
      <c r="A25" s="428" t="s">
        <v>216</v>
      </c>
      <c r="B25" s="288" t="s">
        <v>232</v>
      </c>
      <c r="C25" s="286">
        <v>1</v>
      </c>
      <c r="D25" s="313" t="s">
        <v>178</v>
      </c>
      <c r="E25" s="527"/>
      <c r="F25" s="500" t="str">
        <f t="shared" si="0"/>
        <v xml:space="preserve"> </v>
      </c>
    </row>
    <row r="26" spans="1:6" s="287" customFormat="1">
      <c r="A26" s="428" t="s">
        <v>216</v>
      </c>
      <c r="B26" s="283" t="s">
        <v>233</v>
      </c>
      <c r="C26" s="286">
        <v>1</v>
      </c>
      <c r="D26" s="313" t="s">
        <v>178</v>
      </c>
      <c r="E26" s="527"/>
      <c r="F26" s="500" t="str">
        <f t="shared" si="0"/>
        <v xml:space="preserve"> </v>
      </c>
    </row>
    <row r="27" spans="1:6" s="287" customFormat="1">
      <c r="A27" s="428" t="s">
        <v>216</v>
      </c>
      <c r="B27" s="283" t="s">
        <v>234</v>
      </c>
      <c r="C27" s="286">
        <v>1</v>
      </c>
      <c r="D27" s="313" t="s">
        <v>178</v>
      </c>
      <c r="E27" s="527"/>
      <c r="F27" s="500" t="str">
        <f t="shared" si="0"/>
        <v xml:space="preserve"> </v>
      </c>
    </row>
    <row r="28" spans="1:6" s="287" customFormat="1">
      <c r="A28" s="428" t="s">
        <v>216</v>
      </c>
      <c r="B28" s="283" t="s">
        <v>235</v>
      </c>
      <c r="C28" s="286">
        <v>1</v>
      </c>
      <c r="D28" s="313" t="s">
        <v>178</v>
      </c>
      <c r="E28" s="527"/>
      <c r="F28" s="500" t="str">
        <f t="shared" si="0"/>
        <v xml:space="preserve"> </v>
      </c>
    </row>
    <row r="29" spans="1:6" s="287" customFormat="1" ht="38.25">
      <c r="A29" s="428" t="s">
        <v>216</v>
      </c>
      <c r="B29" s="283" t="s">
        <v>236</v>
      </c>
      <c r="C29" s="286">
        <v>1</v>
      </c>
      <c r="D29" s="313" t="s">
        <v>178</v>
      </c>
      <c r="E29" s="527"/>
      <c r="F29" s="500" t="str">
        <f t="shared" si="0"/>
        <v xml:space="preserve"> </v>
      </c>
    </row>
    <row r="30" spans="1:6" s="287" customFormat="1">
      <c r="A30" s="428" t="s">
        <v>216</v>
      </c>
      <c r="B30" s="283" t="s">
        <v>237</v>
      </c>
      <c r="C30" s="286">
        <v>1</v>
      </c>
      <c r="D30" s="313" t="s">
        <v>178</v>
      </c>
      <c r="E30" s="527"/>
      <c r="F30" s="500" t="str">
        <f t="shared" si="0"/>
        <v xml:space="preserve"> </v>
      </c>
    </row>
    <row r="31" spans="1:6" s="287" customFormat="1">
      <c r="A31" s="428" t="s">
        <v>216</v>
      </c>
      <c r="B31" s="283" t="s">
        <v>238</v>
      </c>
      <c r="C31" s="286">
        <v>1</v>
      </c>
      <c r="D31" s="313" t="s">
        <v>178</v>
      </c>
      <c r="E31" s="527"/>
      <c r="F31" s="500" t="str">
        <f t="shared" si="0"/>
        <v xml:space="preserve"> </v>
      </c>
    </row>
    <row r="32" spans="1:6" s="292" customFormat="1" ht="38.25">
      <c r="A32" s="428" t="s">
        <v>216</v>
      </c>
      <c r="B32" s="283" t="s">
        <v>239</v>
      </c>
      <c r="C32" s="286">
        <v>2</v>
      </c>
      <c r="D32" s="313" t="s">
        <v>178</v>
      </c>
      <c r="E32" s="527"/>
      <c r="F32" s="500" t="str">
        <f t="shared" si="0"/>
        <v xml:space="preserve"> </v>
      </c>
    </row>
    <row r="33" spans="1:21" s="287" customFormat="1">
      <c r="A33" s="428" t="s">
        <v>216</v>
      </c>
      <c r="B33" s="283" t="s">
        <v>240</v>
      </c>
      <c r="C33" s="286">
        <v>1</v>
      </c>
      <c r="D33" s="313" t="s">
        <v>178</v>
      </c>
      <c r="E33" s="527"/>
      <c r="F33" s="500" t="str">
        <f t="shared" si="0"/>
        <v xml:space="preserve"> </v>
      </c>
    </row>
    <row r="34" spans="1:21" s="298" customFormat="1" ht="25.5">
      <c r="A34" s="430" t="s">
        <v>216</v>
      </c>
      <c r="B34" s="294" t="s">
        <v>241</v>
      </c>
      <c r="C34" s="295">
        <v>1</v>
      </c>
      <c r="D34" s="341" t="s">
        <v>178</v>
      </c>
      <c r="E34" s="527"/>
      <c r="F34" s="500" t="str">
        <f t="shared" si="0"/>
        <v xml:space="preserve"> </v>
      </c>
      <c r="G34" s="297"/>
      <c r="H34" s="297"/>
      <c r="I34" s="297"/>
      <c r="J34" s="297"/>
      <c r="K34" s="297"/>
      <c r="L34" s="297"/>
      <c r="M34" s="297"/>
      <c r="N34" s="297"/>
      <c r="O34" s="297"/>
      <c r="P34" s="297"/>
      <c r="Q34" s="297"/>
      <c r="R34" s="297"/>
      <c r="S34" s="297"/>
      <c r="T34" s="297"/>
      <c r="U34" s="297"/>
    </row>
    <row r="35" spans="1:21" s="298" customFormat="1" ht="25.5">
      <c r="A35" s="430" t="s">
        <v>216</v>
      </c>
      <c r="B35" s="294" t="s">
        <v>242</v>
      </c>
      <c r="C35" s="295">
        <v>1</v>
      </c>
      <c r="D35" s="341" t="s">
        <v>178</v>
      </c>
      <c r="E35" s="527"/>
      <c r="F35" s="500" t="str">
        <f t="shared" si="0"/>
        <v xml:space="preserve"> </v>
      </c>
      <c r="G35" s="297"/>
      <c r="H35" s="297"/>
      <c r="I35" s="297"/>
      <c r="J35" s="297"/>
      <c r="K35" s="297"/>
      <c r="L35" s="297"/>
      <c r="M35" s="297"/>
      <c r="N35" s="297"/>
      <c r="O35" s="297"/>
      <c r="P35" s="297"/>
      <c r="Q35" s="297"/>
      <c r="R35" s="297"/>
      <c r="S35" s="297"/>
      <c r="T35" s="297"/>
      <c r="U35" s="297"/>
    </row>
    <row r="36" spans="1:21" s="298" customFormat="1" ht="15">
      <c r="A36" s="430" t="s">
        <v>216</v>
      </c>
      <c r="B36" s="294" t="s">
        <v>243</v>
      </c>
      <c r="C36" s="295">
        <v>2</v>
      </c>
      <c r="D36" s="341" t="s">
        <v>178</v>
      </c>
      <c r="E36" s="527"/>
      <c r="F36" s="500" t="str">
        <f t="shared" si="0"/>
        <v xml:space="preserve"> </v>
      </c>
      <c r="G36" s="297"/>
      <c r="H36" s="297"/>
      <c r="I36" s="297"/>
      <c r="J36" s="297"/>
      <c r="K36" s="297"/>
      <c r="L36" s="297"/>
      <c r="M36" s="297"/>
      <c r="N36" s="297"/>
      <c r="O36" s="297"/>
      <c r="P36" s="297"/>
      <c r="Q36" s="297"/>
      <c r="R36" s="297"/>
      <c r="S36" s="297"/>
      <c r="T36" s="297"/>
      <c r="U36" s="297"/>
    </row>
    <row r="37" spans="1:21" s="287" customFormat="1">
      <c r="A37" s="428" t="s">
        <v>216</v>
      </c>
      <c r="B37" s="283" t="s">
        <v>244</v>
      </c>
      <c r="C37" s="286">
        <v>1</v>
      </c>
      <c r="D37" s="313" t="s">
        <v>178</v>
      </c>
      <c r="E37" s="527"/>
      <c r="F37" s="500" t="str">
        <f t="shared" si="0"/>
        <v xml:space="preserve"> </v>
      </c>
    </row>
    <row r="38" spans="1:21" s="291" customFormat="1" ht="51">
      <c r="A38" s="428" t="s">
        <v>216</v>
      </c>
      <c r="B38" s="289" t="s">
        <v>245</v>
      </c>
      <c r="C38" s="299">
        <v>1</v>
      </c>
      <c r="D38" s="340" t="s">
        <v>6</v>
      </c>
      <c r="E38" s="527"/>
      <c r="F38" s="500" t="str">
        <f t="shared" si="0"/>
        <v xml:space="preserve"> </v>
      </c>
    </row>
    <row r="39" spans="1:21" s="292" customFormat="1" ht="25.5">
      <c r="A39" s="428" t="s">
        <v>216</v>
      </c>
      <c r="B39" s="283" t="s">
        <v>246</v>
      </c>
      <c r="C39" s="286">
        <v>7</v>
      </c>
      <c r="D39" s="313" t="s">
        <v>178</v>
      </c>
      <c r="E39" s="527"/>
      <c r="F39" s="500" t="str">
        <f t="shared" si="0"/>
        <v xml:space="preserve"> </v>
      </c>
    </row>
    <row r="40" spans="1:21" s="287" customFormat="1" ht="25.5">
      <c r="A40" s="428" t="s">
        <v>216</v>
      </c>
      <c r="B40" s="283" t="s">
        <v>247</v>
      </c>
      <c r="C40" s="286">
        <v>6</v>
      </c>
      <c r="D40" s="313" t="s">
        <v>178</v>
      </c>
      <c r="E40" s="527"/>
      <c r="F40" s="500" t="str">
        <f t="shared" si="0"/>
        <v xml:space="preserve"> </v>
      </c>
    </row>
    <row r="41" spans="1:21" s="287" customFormat="1">
      <c r="A41" s="428" t="s">
        <v>216</v>
      </c>
      <c r="B41" s="283" t="s">
        <v>248</v>
      </c>
      <c r="C41" s="286">
        <v>1</v>
      </c>
      <c r="D41" s="313" t="s">
        <v>178</v>
      </c>
      <c r="E41" s="527"/>
      <c r="F41" s="500" t="str">
        <f t="shared" si="0"/>
        <v xml:space="preserve"> </v>
      </c>
    </row>
    <row r="42" spans="1:21" s="287" customFormat="1">
      <c r="A42" s="428" t="s">
        <v>216</v>
      </c>
      <c r="B42" s="283" t="s">
        <v>249</v>
      </c>
      <c r="C42" s="286">
        <v>1</v>
      </c>
      <c r="D42" s="313" t="s">
        <v>178</v>
      </c>
      <c r="E42" s="527"/>
      <c r="F42" s="500" t="str">
        <f t="shared" si="0"/>
        <v xml:space="preserve"> </v>
      </c>
    </row>
    <row r="43" spans="1:21" s="287" customFormat="1">
      <c r="A43" s="428" t="s">
        <v>216</v>
      </c>
      <c r="B43" s="283" t="s">
        <v>250</v>
      </c>
      <c r="C43" s="286">
        <v>1</v>
      </c>
      <c r="D43" s="313" t="s">
        <v>178</v>
      </c>
      <c r="E43" s="527"/>
      <c r="F43" s="500" t="str">
        <f t="shared" si="0"/>
        <v xml:space="preserve"> </v>
      </c>
    </row>
    <row r="44" spans="1:21" s="296" customFormat="1">
      <c r="A44" s="430"/>
      <c r="B44" s="294" t="s">
        <v>251</v>
      </c>
      <c r="C44" s="300"/>
      <c r="D44" s="341"/>
      <c r="E44" s="527"/>
      <c r="F44" s="500" t="str">
        <f t="shared" si="0"/>
        <v xml:space="preserve"> </v>
      </c>
    </row>
    <row r="45" spans="1:21" s="296" customFormat="1" ht="25.5">
      <c r="A45" s="428" t="s">
        <v>216</v>
      </c>
      <c r="B45" s="301" t="s">
        <v>252</v>
      </c>
      <c r="C45" s="300">
        <v>1</v>
      </c>
      <c r="D45" s="341" t="s">
        <v>178</v>
      </c>
      <c r="E45" s="527"/>
      <c r="F45" s="500" t="str">
        <f t="shared" si="0"/>
        <v xml:space="preserve"> </v>
      </c>
      <c r="G45" s="302"/>
    </row>
    <row r="46" spans="1:21" s="296" customFormat="1">
      <c r="A46" s="428" t="s">
        <v>216</v>
      </c>
      <c r="B46" s="303" t="s">
        <v>253</v>
      </c>
      <c r="C46" s="300">
        <v>1</v>
      </c>
      <c r="D46" s="341" t="s">
        <v>178</v>
      </c>
      <c r="E46" s="527"/>
      <c r="F46" s="500" t="str">
        <f t="shared" si="0"/>
        <v xml:space="preserve"> </v>
      </c>
    </row>
    <row r="47" spans="1:21" s="296" customFormat="1">
      <c r="A47" s="428" t="s">
        <v>216</v>
      </c>
      <c r="B47" s="303" t="s">
        <v>254</v>
      </c>
      <c r="C47" s="300">
        <v>1</v>
      </c>
      <c r="D47" s="341" t="s">
        <v>178</v>
      </c>
      <c r="E47" s="527"/>
      <c r="F47" s="500" t="str">
        <f t="shared" si="0"/>
        <v xml:space="preserve"> </v>
      </c>
    </row>
    <row r="48" spans="1:21" s="296" customFormat="1">
      <c r="A48" s="428" t="s">
        <v>216</v>
      </c>
      <c r="B48" s="303" t="s">
        <v>255</v>
      </c>
      <c r="C48" s="300">
        <v>1</v>
      </c>
      <c r="D48" s="341" t="s">
        <v>178</v>
      </c>
      <c r="E48" s="527"/>
      <c r="F48" s="500" t="str">
        <f t="shared" si="0"/>
        <v xml:space="preserve"> </v>
      </c>
    </row>
    <row r="49" spans="1:8" s="296" customFormat="1" ht="63.75">
      <c r="A49" s="431" t="s">
        <v>216</v>
      </c>
      <c r="B49" s="305" t="s">
        <v>256</v>
      </c>
      <c r="C49" s="306">
        <v>1</v>
      </c>
      <c r="D49" s="342" t="s">
        <v>257</v>
      </c>
      <c r="E49" s="527"/>
      <c r="F49" s="500" t="str">
        <f t="shared" si="0"/>
        <v xml:space="preserve"> </v>
      </c>
      <c r="G49" s="302"/>
      <c r="H49" s="307"/>
    </row>
    <row r="50" spans="1:8" s="292" customFormat="1" ht="25.5">
      <c r="A50" s="428" t="s">
        <v>216</v>
      </c>
      <c r="B50" s="283" t="s">
        <v>258</v>
      </c>
      <c r="C50" s="286">
        <v>1</v>
      </c>
      <c r="D50" s="313" t="s">
        <v>257</v>
      </c>
      <c r="E50" s="527"/>
      <c r="F50" s="500" t="str">
        <f t="shared" si="0"/>
        <v xml:space="preserve"> </v>
      </c>
    </row>
    <row r="51" spans="1:8" s="296" customFormat="1" ht="25.5">
      <c r="A51" s="430" t="s">
        <v>216</v>
      </c>
      <c r="B51" s="292" t="s">
        <v>259</v>
      </c>
      <c r="C51" s="300">
        <v>1</v>
      </c>
      <c r="D51" s="341" t="s">
        <v>257</v>
      </c>
      <c r="E51" s="527"/>
      <c r="F51" s="500" t="str">
        <f t="shared" si="0"/>
        <v xml:space="preserve"> </v>
      </c>
    </row>
    <row r="52" spans="1:8" s="296" customFormat="1" ht="25.5">
      <c r="A52" s="431" t="s">
        <v>216</v>
      </c>
      <c r="B52" s="305" t="s">
        <v>260</v>
      </c>
      <c r="C52" s="306">
        <v>1</v>
      </c>
      <c r="D52" s="342" t="s">
        <v>257</v>
      </c>
      <c r="E52" s="527"/>
      <c r="F52" s="500" t="str">
        <f t="shared" si="0"/>
        <v xml:space="preserve"> </v>
      </c>
      <c r="G52" s="307"/>
      <c r="H52" s="307"/>
    </row>
    <row r="53" spans="1:8" s="296" customFormat="1" ht="25.5">
      <c r="A53" s="428" t="s">
        <v>216</v>
      </c>
      <c r="B53" s="292" t="s">
        <v>261</v>
      </c>
      <c r="C53" s="300">
        <v>1</v>
      </c>
      <c r="D53" s="341" t="s">
        <v>178</v>
      </c>
      <c r="E53" s="527"/>
      <c r="F53" s="500" t="str">
        <f t="shared" si="0"/>
        <v xml:space="preserve"> </v>
      </c>
    </row>
    <row r="54" spans="1:8" s="296" customFormat="1" ht="38.25">
      <c r="A54" s="428" t="s">
        <v>216</v>
      </c>
      <c r="B54" s="292" t="s">
        <v>262</v>
      </c>
      <c r="C54" s="300">
        <v>1</v>
      </c>
      <c r="D54" s="341" t="s">
        <v>178</v>
      </c>
      <c r="E54" s="527"/>
      <c r="F54" s="500" t="str">
        <f t="shared" si="0"/>
        <v xml:space="preserve"> </v>
      </c>
    </row>
    <row r="55" spans="1:8" s="296" customFormat="1">
      <c r="A55" s="428" t="s">
        <v>216</v>
      </c>
      <c r="B55" s="292" t="s">
        <v>263</v>
      </c>
      <c r="C55" s="300">
        <v>1</v>
      </c>
      <c r="D55" s="341" t="s">
        <v>178</v>
      </c>
      <c r="E55" s="527"/>
      <c r="F55" s="500" t="str">
        <f t="shared" si="0"/>
        <v xml:space="preserve"> </v>
      </c>
    </row>
    <row r="56" spans="1:8" s="287" customFormat="1">
      <c r="A56" s="428" t="s">
        <v>216</v>
      </c>
      <c r="B56" s="283" t="s">
        <v>264</v>
      </c>
      <c r="C56" s="286">
        <v>8</v>
      </c>
      <c r="D56" s="313" t="s">
        <v>178</v>
      </c>
      <c r="E56" s="527"/>
      <c r="F56" s="500" t="str">
        <f t="shared" si="0"/>
        <v xml:space="preserve"> </v>
      </c>
    </row>
    <row r="57" spans="1:8" s="287" customFormat="1">
      <c r="A57" s="428" t="s">
        <v>216</v>
      </c>
      <c r="B57" s="283" t="s">
        <v>265</v>
      </c>
      <c r="C57" s="286">
        <v>8</v>
      </c>
      <c r="D57" s="313" t="s">
        <v>178</v>
      </c>
      <c r="E57" s="527"/>
      <c r="F57" s="500" t="str">
        <f t="shared" si="0"/>
        <v xml:space="preserve"> </v>
      </c>
    </row>
    <row r="58" spans="1:8" s="287" customFormat="1">
      <c r="A58" s="428" t="s">
        <v>216</v>
      </c>
      <c r="B58" s="283" t="s">
        <v>266</v>
      </c>
      <c r="C58" s="286">
        <v>40</v>
      </c>
      <c r="D58" s="313" t="s">
        <v>178</v>
      </c>
      <c r="E58" s="527"/>
      <c r="F58" s="500" t="str">
        <f t="shared" si="0"/>
        <v xml:space="preserve"> </v>
      </c>
    </row>
    <row r="59" spans="1:8" s="310" customFormat="1">
      <c r="A59" s="432" t="s">
        <v>216</v>
      </c>
      <c r="B59" s="308" t="s">
        <v>267</v>
      </c>
      <c r="C59" s="309">
        <v>2</v>
      </c>
      <c r="D59" s="309" t="s">
        <v>9</v>
      </c>
      <c r="E59" s="527"/>
      <c r="F59" s="500" t="str">
        <f t="shared" si="0"/>
        <v xml:space="preserve"> </v>
      </c>
    </row>
    <row r="60" spans="1:8" s="287" customFormat="1">
      <c r="A60" s="428" t="s">
        <v>216</v>
      </c>
      <c r="B60" s="283" t="s">
        <v>268</v>
      </c>
      <c r="C60" s="286">
        <v>1</v>
      </c>
      <c r="D60" s="313" t="s">
        <v>257</v>
      </c>
      <c r="E60" s="529"/>
      <c r="F60" s="500" t="str">
        <f t="shared" si="0"/>
        <v xml:space="preserve"> </v>
      </c>
    </row>
    <row r="61" spans="1:8" s="287" customFormat="1">
      <c r="A61" s="428"/>
      <c r="B61" s="283"/>
      <c r="C61" s="286"/>
      <c r="D61" s="313"/>
      <c r="E61" s="501"/>
      <c r="F61" s="499" t="s">
        <v>269</v>
      </c>
    </row>
    <row r="62" spans="1:8" s="270" customFormat="1">
      <c r="A62" s="428"/>
      <c r="B62" s="311" t="s">
        <v>270</v>
      </c>
      <c r="C62" s="312"/>
      <c r="D62" s="343"/>
      <c r="E62" s="530"/>
      <c r="F62" s="503">
        <f>SUM(F10:F60)</f>
        <v>0</v>
      </c>
    </row>
    <row r="63" spans="1:8" s="270" customFormat="1">
      <c r="A63" s="428"/>
      <c r="B63" s="281"/>
      <c r="C63" s="313"/>
      <c r="D63" s="313"/>
      <c r="E63" s="504" t="str">
        <f>IF(AND(ISNUMBER(#REF!),ISNUMBER(#REF!)),ROUND((#REF!*#REF!+#REF!*#REF!*#REF!)*(1+#REF!)*#REF!*#REF!*#REF!,2)," ")</f>
        <v xml:space="preserve"> </v>
      </c>
      <c r="F63" s="504"/>
    </row>
    <row r="64" spans="1:8" s="270" customFormat="1">
      <c r="A64" s="319" t="s">
        <v>271</v>
      </c>
      <c r="B64" s="314" t="s">
        <v>272</v>
      </c>
      <c r="C64" s="313"/>
      <c r="D64" s="313"/>
      <c r="E64" s="504" t="str">
        <f>IF(AND(ISNUMBER(#REF!),ISNUMBER(#REF!)),ROUND((#REF!*#REF!+#REF!*#REF!*#REF!)*(1+#REF!)*#REF!*#REF!*#REF!,2)," ")</f>
        <v xml:space="preserve"> </v>
      </c>
      <c r="F64" s="504"/>
    </row>
    <row r="65" spans="1:6" s="270" customFormat="1">
      <c r="A65" s="428"/>
      <c r="B65" s="281" t="s">
        <v>215</v>
      </c>
      <c r="C65" s="313"/>
      <c r="D65" s="313"/>
      <c r="E65" s="504" t="str">
        <f>IF(AND(ISNUMBER(#REF!),ISNUMBER(#REF!)),ROUND((#REF!*#REF!+#REF!*#REF!*#REF!)*(1+#REF!)*#REF!*#REF!*#REF!,2)," ")</f>
        <v xml:space="preserve"> </v>
      </c>
      <c r="F65" s="504"/>
    </row>
    <row r="66" spans="1:6" s="270" customFormat="1">
      <c r="A66" s="428"/>
      <c r="B66" s="281"/>
      <c r="C66" s="313"/>
      <c r="D66" s="313"/>
      <c r="E66" s="504"/>
      <c r="F66" s="504"/>
    </row>
    <row r="67" spans="1:6" s="317" customFormat="1">
      <c r="A67" s="285" t="s">
        <v>216</v>
      </c>
      <c r="B67" s="315" t="s">
        <v>273</v>
      </c>
      <c r="C67" s="316">
        <v>5</v>
      </c>
      <c r="D67" s="344" t="s">
        <v>9</v>
      </c>
      <c r="E67" s="527"/>
      <c r="F67" s="500" t="str">
        <f t="shared" ref="F67:F71" si="1">IF(AND(ISNUMBER(C67),ISNUMBER(E67)),C67*E67," ")</f>
        <v xml:space="preserve"> </v>
      </c>
    </row>
    <row r="68" spans="1:6" s="317" customFormat="1">
      <c r="A68" s="285" t="s">
        <v>216</v>
      </c>
      <c r="B68" s="315" t="s">
        <v>274</v>
      </c>
      <c r="C68" s="316">
        <v>2</v>
      </c>
      <c r="D68" s="344" t="s">
        <v>9</v>
      </c>
      <c r="E68" s="527"/>
      <c r="F68" s="500" t="str">
        <f t="shared" si="1"/>
        <v xml:space="preserve"> </v>
      </c>
    </row>
    <row r="69" spans="1:6" s="270" customFormat="1">
      <c r="A69" s="285" t="s">
        <v>216</v>
      </c>
      <c r="B69" s="283" t="s">
        <v>275</v>
      </c>
      <c r="C69" s="313">
        <v>40</v>
      </c>
      <c r="D69" s="286" t="s">
        <v>9</v>
      </c>
      <c r="E69" s="527"/>
      <c r="F69" s="500" t="str">
        <f t="shared" si="1"/>
        <v xml:space="preserve"> </v>
      </c>
    </row>
    <row r="70" spans="1:6" s="270" customFormat="1">
      <c r="A70" s="285" t="s">
        <v>216</v>
      </c>
      <c r="B70" s="283" t="s">
        <v>276</v>
      </c>
      <c r="C70" s="313">
        <v>30</v>
      </c>
      <c r="D70" s="286" t="s">
        <v>9</v>
      </c>
      <c r="E70" s="527"/>
      <c r="F70" s="500" t="str">
        <f t="shared" si="1"/>
        <v xml:space="preserve"> </v>
      </c>
    </row>
    <row r="71" spans="1:6" s="270" customFormat="1">
      <c r="A71" s="285" t="s">
        <v>216</v>
      </c>
      <c r="B71" s="283" t="s">
        <v>277</v>
      </c>
      <c r="C71" s="313">
        <v>40</v>
      </c>
      <c r="D71" s="286" t="s">
        <v>9</v>
      </c>
      <c r="E71" s="527"/>
      <c r="F71" s="500" t="str">
        <f t="shared" si="1"/>
        <v xml:space="preserve"> </v>
      </c>
    </row>
    <row r="72" spans="1:6" s="270" customFormat="1">
      <c r="A72" s="428"/>
      <c r="B72" s="281"/>
      <c r="C72" s="313"/>
      <c r="D72" s="313"/>
      <c r="E72" s="504"/>
      <c r="F72" s="504"/>
    </row>
    <row r="73" spans="1:6" s="270" customFormat="1">
      <c r="A73" s="428"/>
      <c r="B73" s="311" t="s">
        <v>278</v>
      </c>
      <c r="C73" s="312"/>
      <c r="D73" s="343"/>
      <c r="E73" s="530"/>
      <c r="F73" s="502">
        <f>SUM(F67:F71)</f>
        <v>0</v>
      </c>
    </row>
    <row r="74" spans="1:6" s="270" customFormat="1">
      <c r="A74" s="428"/>
      <c r="B74" s="311"/>
      <c r="C74" s="312"/>
      <c r="D74" s="343"/>
      <c r="E74" s="502"/>
      <c r="F74" s="502"/>
    </row>
    <row r="75" spans="1:6" s="270" customFormat="1">
      <c r="A75" s="428"/>
      <c r="B75" s="281"/>
      <c r="C75" s="313"/>
      <c r="D75" s="313"/>
      <c r="E75" s="504"/>
      <c r="F75" s="504"/>
    </row>
    <row r="76" spans="1:6" s="270" customFormat="1">
      <c r="A76" s="319" t="s">
        <v>279</v>
      </c>
      <c r="B76" s="319" t="s">
        <v>280</v>
      </c>
      <c r="C76" s="313"/>
      <c r="D76" s="313"/>
      <c r="E76" s="504"/>
      <c r="F76" s="504"/>
    </row>
    <row r="77" spans="1:6" s="270" customFormat="1">
      <c r="A77" s="428"/>
      <c r="B77" s="281" t="s">
        <v>215</v>
      </c>
      <c r="C77" s="313"/>
      <c r="D77" s="313"/>
      <c r="E77" s="504"/>
      <c r="F77" s="504"/>
    </row>
    <row r="78" spans="1:6" s="270" customFormat="1">
      <c r="A78" s="428"/>
      <c r="B78" s="281"/>
      <c r="C78" s="313"/>
      <c r="D78" s="313"/>
      <c r="E78" s="504"/>
      <c r="F78" s="504"/>
    </row>
    <row r="79" spans="1:6" s="321" customFormat="1">
      <c r="A79" s="285" t="s">
        <v>216</v>
      </c>
      <c r="B79" s="321" t="s">
        <v>281</v>
      </c>
      <c r="C79" s="299">
        <v>15</v>
      </c>
      <c r="D79" s="286" t="s">
        <v>9</v>
      </c>
      <c r="E79" s="527"/>
      <c r="F79" s="500" t="str">
        <f t="shared" ref="F79:F100" si="2">IF(AND(ISNUMBER(C79),ISNUMBER(E79)),C79*E79," ")</f>
        <v xml:space="preserve"> </v>
      </c>
    </row>
    <row r="80" spans="1:6" s="321" customFormat="1">
      <c r="A80" s="285" t="s">
        <v>216</v>
      </c>
      <c r="B80" s="321" t="s">
        <v>282</v>
      </c>
      <c r="C80" s="299">
        <v>10</v>
      </c>
      <c r="D80" s="286" t="s">
        <v>9</v>
      </c>
      <c r="E80" s="527"/>
      <c r="F80" s="500" t="str">
        <f t="shared" si="2"/>
        <v xml:space="preserve"> </v>
      </c>
    </row>
    <row r="81" spans="1:8" s="270" customFormat="1" ht="25.5">
      <c r="A81" s="431" t="s">
        <v>216</v>
      </c>
      <c r="B81" s="305" t="s">
        <v>283</v>
      </c>
      <c r="C81" s="306">
        <v>1</v>
      </c>
      <c r="D81" s="342" t="s">
        <v>178</v>
      </c>
      <c r="E81" s="527"/>
      <c r="F81" s="500" t="str">
        <f t="shared" si="2"/>
        <v xml:space="preserve"> </v>
      </c>
      <c r="G81" s="307"/>
      <c r="H81" s="307"/>
    </row>
    <row r="82" spans="1:8" s="270" customFormat="1" ht="25.5">
      <c r="A82" s="431" t="s">
        <v>216</v>
      </c>
      <c r="B82" s="305" t="s">
        <v>284</v>
      </c>
      <c r="C82" s="306">
        <v>1</v>
      </c>
      <c r="D82" s="342" t="s">
        <v>178</v>
      </c>
      <c r="E82" s="527"/>
      <c r="F82" s="500" t="str">
        <f t="shared" si="2"/>
        <v xml:space="preserve"> </v>
      </c>
      <c r="G82" s="307"/>
      <c r="H82" s="307"/>
    </row>
    <row r="83" spans="1:8" s="270" customFormat="1">
      <c r="A83" s="431" t="s">
        <v>216</v>
      </c>
      <c r="B83" s="305" t="s">
        <v>285</v>
      </c>
      <c r="C83" s="306">
        <v>2</v>
      </c>
      <c r="D83" s="342" t="s">
        <v>178</v>
      </c>
      <c r="E83" s="527"/>
      <c r="F83" s="500" t="str">
        <f t="shared" si="2"/>
        <v xml:space="preserve"> </v>
      </c>
      <c r="G83" s="307"/>
      <c r="H83" s="307"/>
    </row>
    <row r="84" spans="1:8" s="270" customFormat="1" ht="25.5">
      <c r="A84" s="431" t="s">
        <v>216</v>
      </c>
      <c r="B84" s="305" t="s">
        <v>286</v>
      </c>
      <c r="C84" s="306">
        <v>4</v>
      </c>
      <c r="D84" s="342" t="s">
        <v>178</v>
      </c>
      <c r="E84" s="527"/>
      <c r="F84" s="500" t="str">
        <f t="shared" si="2"/>
        <v xml:space="preserve"> </v>
      </c>
      <c r="G84" s="307"/>
      <c r="H84" s="307"/>
    </row>
    <row r="85" spans="1:8" s="270" customFormat="1" ht="25.5">
      <c r="A85" s="431" t="s">
        <v>216</v>
      </c>
      <c r="B85" s="305" t="s">
        <v>287</v>
      </c>
      <c r="C85" s="306">
        <v>3</v>
      </c>
      <c r="D85" s="342" t="s">
        <v>9</v>
      </c>
      <c r="E85" s="527"/>
      <c r="F85" s="500" t="str">
        <f t="shared" si="2"/>
        <v xml:space="preserve"> </v>
      </c>
      <c r="G85" s="307"/>
      <c r="H85" s="307"/>
    </row>
    <row r="86" spans="1:8" s="270" customFormat="1" ht="25.5">
      <c r="A86" s="431" t="s">
        <v>216</v>
      </c>
      <c r="B86" s="305" t="s">
        <v>288</v>
      </c>
      <c r="C86" s="306">
        <v>3</v>
      </c>
      <c r="D86" s="342" t="s">
        <v>9</v>
      </c>
      <c r="E86" s="527"/>
      <c r="F86" s="500" t="str">
        <f t="shared" si="2"/>
        <v xml:space="preserve"> </v>
      </c>
      <c r="G86" s="307"/>
      <c r="H86" s="307"/>
    </row>
    <row r="87" spans="1:8" s="270" customFormat="1" ht="25.5">
      <c r="A87" s="431" t="s">
        <v>216</v>
      </c>
      <c r="B87" s="305" t="s">
        <v>289</v>
      </c>
      <c r="C87" s="306">
        <v>4</v>
      </c>
      <c r="D87" s="342" t="s">
        <v>9</v>
      </c>
      <c r="E87" s="527"/>
      <c r="F87" s="500" t="str">
        <f t="shared" si="2"/>
        <v xml:space="preserve"> </v>
      </c>
      <c r="G87" s="307"/>
      <c r="H87" s="307"/>
    </row>
    <row r="88" spans="1:8" s="270" customFormat="1">
      <c r="A88" s="431" t="s">
        <v>216</v>
      </c>
      <c r="B88" s="305" t="s">
        <v>290</v>
      </c>
      <c r="C88" s="306">
        <v>1</v>
      </c>
      <c r="D88" s="342" t="s">
        <v>178</v>
      </c>
      <c r="E88" s="527"/>
      <c r="F88" s="500" t="str">
        <f t="shared" si="2"/>
        <v xml:space="preserve"> </v>
      </c>
      <c r="G88" s="307"/>
      <c r="H88" s="307"/>
    </row>
    <row r="89" spans="1:8" s="270" customFormat="1">
      <c r="A89" s="431" t="s">
        <v>216</v>
      </c>
      <c r="B89" s="305" t="s">
        <v>291</v>
      </c>
      <c r="C89" s="306">
        <v>90</v>
      </c>
      <c r="D89" s="342" t="s">
        <v>9</v>
      </c>
      <c r="E89" s="527"/>
      <c r="F89" s="500" t="str">
        <f t="shared" si="2"/>
        <v xml:space="preserve"> </v>
      </c>
      <c r="G89" s="307"/>
      <c r="H89" s="307"/>
    </row>
    <row r="90" spans="1:8" s="270" customFormat="1">
      <c r="A90" s="431" t="s">
        <v>216</v>
      </c>
      <c r="B90" s="305" t="s">
        <v>292</v>
      </c>
      <c r="C90" s="306">
        <v>10</v>
      </c>
      <c r="D90" s="342" t="s">
        <v>257</v>
      </c>
      <c r="E90" s="527"/>
      <c r="F90" s="500" t="str">
        <f t="shared" si="2"/>
        <v xml:space="preserve"> </v>
      </c>
      <c r="G90" s="307"/>
      <c r="H90" s="307"/>
    </row>
    <row r="91" spans="1:8" s="317" customFormat="1">
      <c r="A91" s="285" t="s">
        <v>216</v>
      </c>
      <c r="B91" s="305" t="s">
        <v>293</v>
      </c>
      <c r="C91" s="316">
        <v>1</v>
      </c>
      <c r="D91" s="344" t="s">
        <v>178</v>
      </c>
      <c r="E91" s="527"/>
      <c r="F91" s="500" t="str">
        <f t="shared" si="2"/>
        <v xml:space="preserve"> </v>
      </c>
    </row>
    <row r="92" spans="1:8" s="270" customFormat="1">
      <c r="A92" s="285" t="s">
        <v>216</v>
      </c>
      <c r="B92" s="283" t="s">
        <v>294</v>
      </c>
      <c r="C92" s="313">
        <v>20</v>
      </c>
      <c r="D92" s="286" t="s">
        <v>178</v>
      </c>
      <c r="E92" s="527"/>
      <c r="F92" s="500" t="str">
        <f t="shared" si="2"/>
        <v xml:space="preserve"> </v>
      </c>
    </row>
    <row r="93" spans="1:8" s="270" customFormat="1" ht="25.5">
      <c r="A93" s="285" t="s">
        <v>216</v>
      </c>
      <c r="B93" s="322" t="s">
        <v>295</v>
      </c>
      <c r="C93" s="323">
        <v>20</v>
      </c>
      <c r="D93" s="345" t="s">
        <v>178</v>
      </c>
      <c r="E93" s="527"/>
      <c r="F93" s="500" t="str">
        <f t="shared" si="2"/>
        <v xml:space="preserve"> </v>
      </c>
      <c r="G93" s="323"/>
    </row>
    <row r="94" spans="1:8" s="270" customFormat="1">
      <c r="A94" s="285" t="s">
        <v>216</v>
      </c>
      <c r="B94" s="283" t="s">
        <v>296</v>
      </c>
      <c r="C94" s="313">
        <v>1</v>
      </c>
      <c r="D94" s="286" t="s">
        <v>297</v>
      </c>
      <c r="E94" s="527"/>
      <c r="F94" s="500" t="str">
        <f t="shared" si="2"/>
        <v xml:space="preserve"> </v>
      </c>
    </row>
    <row r="95" spans="1:8" s="270" customFormat="1" ht="25.5">
      <c r="A95" s="285" t="s">
        <v>216</v>
      </c>
      <c r="B95" s="321" t="s">
        <v>298</v>
      </c>
      <c r="C95" s="313">
        <v>10</v>
      </c>
      <c r="D95" s="286" t="s">
        <v>178</v>
      </c>
      <c r="E95" s="527"/>
      <c r="F95" s="500" t="str">
        <f t="shared" si="2"/>
        <v xml:space="preserve"> </v>
      </c>
    </row>
    <row r="96" spans="1:8" s="270" customFormat="1" ht="25.5">
      <c r="A96" s="285" t="s">
        <v>216</v>
      </c>
      <c r="B96" s="321" t="s">
        <v>299</v>
      </c>
      <c r="C96" s="313">
        <v>6</v>
      </c>
      <c r="D96" s="286" t="s">
        <v>178</v>
      </c>
      <c r="E96" s="527"/>
      <c r="F96" s="500" t="str">
        <f t="shared" si="2"/>
        <v xml:space="preserve"> </v>
      </c>
    </row>
    <row r="97" spans="1:8" s="270" customFormat="1" ht="25.5">
      <c r="A97" s="431" t="s">
        <v>216</v>
      </c>
      <c r="B97" s="305" t="s">
        <v>300</v>
      </c>
      <c r="C97" s="306">
        <v>1</v>
      </c>
      <c r="D97" s="342" t="s">
        <v>6</v>
      </c>
      <c r="E97" s="527"/>
      <c r="F97" s="500" t="str">
        <f t="shared" si="2"/>
        <v xml:space="preserve"> </v>
      </c>
      <c r="G97" s="307"/>
      <c r="H97" s="307"/>
    </row>
    <row r="98" spans="1:8" s="296" customFormat="1" ht="51">
      <c r="A98" s="428" t="s">
        <v>216</v>
      </c>
      <c r="B98" s="292" t="s">
        <v>301</v>
      </c>
      <c r="C98" s="300">
        <v>1</v>
      </c>
      <c r="D98" s="341" t="s">
        <v>257</v>
      </c>
      <c r="E98" s="527"/>
      <c r="F98" s="500" t="str">
        <f t="shared" si="2"/>
        <v xml:space="preserve"> </v>
      </c>
    </row>
    <row r="99" spans="1:8" s="296" customFormat="1">
      <c r="A99" s="428" t="s">
        <v>216</v>
      </c>
      <c r="B99" s="292" t="s">
        <v>302</v>
      </c>
      <c r="C99" s="300">
        <v>2</v>
      </c>
      <c r="D99" s="341" t="s">
        <v>257</v>
      </c>
      <c r="E99" s="527"/>
      <c r="F99" s="500" t="str">
        <f t="shared" si="2"/>
        <v xml:space="preserve"> </v>
      </c>
    </row>
    <row r="100" spans="1:8" s="270" customFormat="1">
      <c r="A100" s="285" t="s">
        <v>216</v>
      </c>
      <c r="B100" s="283" t="s">
        <v>303</v>
      </c>
      <c r="C100" s="313">
        <v>1</v>
      </c>
      <c r="D100" s="286" t="s">
        <v>257</v>
      </c>
      <c r="E100" s="531"/>
      <c r="F100" s="500" t="str">
        <f t="shared" si="2"/>
        <v xml:space="preserve"> </v>
      </c>
    </row>
    <row r="101" spans="1:8" s="270" customFormat="1">
      <c r="A101" s="428"/>
      <c r="B101" s="281"/>
      <c r="C101" s="313"/>
      <c r="D101" s="313"/>
      <c r="E101" s="504"/>
      <c r="F101" s="504"/>
    </row>
    <row r="102" spans="1:8" s="270" customFormat="1">
      <c r="A102" s="428"/>
      <c r="B102" s="311" t="s">
        <v>304</v>
      </c>
      <c r="C102" s="312"/>
      <c r="D102" s="343"/>
      <c r="E102" s="530"/>
      <c r="F102" s="502">
        <f>SUM(F79:F100)</f>
        <v>0</v>
      </c>
    </row>
    <row r="103" spans="1:8" s="270" customFormat="1">
      <c r="A103" s="428"/>
      <c r="B103" s="311"/>
      <c r="C103" s="312"/>
      <c r="D103" s="343"/>
      <c r="E103" s="502"/>
      <c r="F103" s="502"/>
    </row>
    <row r="104" spans="1:8" s="270" customFormat="1">
      <c r="A104" s="428"/>
      <c r="B104" s="311"/>
      <c r="C104" s="312"/>
      <c r="D104" s="343"/>
      <c r="E104" s="502"/>
      <c r="F104" s="502"/>
    </row>
    <row r="105" spans="1:8" s="326" customFormat="1">
      <c r="A105" s="433" t="s">
        <v>305</v>
      </c>
      <c r="B105" s="324" t="s">
        <v>306</v>
      </c>
      <c r="C105" s="325"/>
      <c r="D105" s="346"/>
      <c r="E105" s="504" t="str">
        <f>IF(AND(ISNUMBER(#REF!),ISNUMBER(#REF!)),ROUND((#REF!*#REF!+#REF!*#REF!*#REF!)*#REF!*#REF!,0)," ")</f>
        <v xml:space="preserve"> </v>
      </c>
      <c r="F105" s="504"/>
    </row>
    <row r="106" spans="1:8" s="326" customFormat="1">
      <c r="A106" s="433"/>
      <c r="B106" s="324"/>
      <c r="C106" s="325"/>
      <c r="D106" s="346"/>
      <c r="E106" s="504"/>
      <c r="F106" s="504"/>
    </row>
    <row r="107" spans="1:8" s="270" customFormat="1">
      <c r="A107" s="434" t="s">
        <v>216</v>
      </c>
      <c r="B107" s="321" t="s">
        <v>307</v>
      </c>
      <c r="C107" s="316">
        <v>1</v>
      </c>
      <c r="D107" s="327" t="s">
        <v>257</v>
      </c>
      <c r="E107" s="527"/>
      <c r="F107" s="500" t="str">
        <f t="shared" ref="F107:F111" si="3">IF(AND(ISNUMBER(C107),ISNUMBER(E107)),C107*E107," ")</f>
        <v xml:space="preserve"> </v>
      </c>
    </row>
    <row r="108" spans="1:8" s="270" customFormat="1">
      <c r="A108" s="434" t="s">
        <v>216</v>
      </c>
      <c r="B108" s="321" t="s">
        <v>308</v>
      </c>
      <c r="C108" s="316">
        <v>2</v>
      </c>
      <c r="D108" s="327" t="s">
        <v>257</v>
      </c>
      <c r="E108" s="527"/>
      <c r="F108" s="500" t="str">
        <f t="shared" si="3"/>
        <v xml:space="preserve"> </v>
      </c>
    </row>
    <row r="109" spans="1:8" s="317" customFormat="1">
      <c r="A109" s="435" t="s">
        <v>216</v>
      </c>
      <c r="B109" s="321" t="s">
        <v>309</v>
      </c>
      <c r="C109" s="316">
        <v>1</v>
      </c>
      <c r="D109" s="327" t="s">
        <v>257</v>
      </c>
      <c r="E109" s="527"/>
      <c r="F109" s="500" t="str">
        <f t="shared" si="3"/>
        <v xml:space="preserve"> </v>
      </c>
    </row>
    <row r="110" spans="1:8" s="317" customFormat="1">
      <c r="A110" s="435" t="s">
        <v>216</v>
      </c>
      <c r="B110" s="321" t="s">
        <v>310</v>
      </c>
      <c r="C110" s="316">
        <v>4</v>
      </c>
      <c r="D110" s="327" t="s">
        <v>257</v>
      </c>
      <c r="E110" s="527"/>
      <c r="F110" s="500" t="str">
        <f t="shared" si="3"/>
        <v xml:space="preserve"> </v>
      </c>
    </row>
    <row r="111" spans="1:8" s="317" customFormat="1">
      <c r="A111" s="435" t="s">
        <v>216</v>
      </c>
      <c r="B111" s="321" t="s">
        <v>311</v>
      </c>
      <c r="C111" s="327">
        <v>1</v>
      </c>
      <c r="D111" s="327" t="s">
        <v>257</v>
      </c>
      <c r="E111" s="527"/>
      <c r="F111" s="500" t="str">
        <f t="shared" si="3"/>
        <v xml:space="preserve"> </v>
      </c>
    </row>
    <row r="112" spans="1:8" s="270" customFormat="1">
      <c r="A112" s="435"/>
      <c r="B112" s="315"/>
      <c r="C112" s="316"/>
      <c r="D112" s="344"/>
      <c r="E112" s="504"/>
      <c r="F112" s="504"/>
    </row>
    <row r="113" spans="1:6" s="326" customFormat="1">
      <c r="A113" s="433"/>
      <c r="B113" s="328" t="s">
        <v>312</v>
      </c>
      <c r="C113" s="325"/>
      <c r="D113" s="346"/>
      <c r="E113" s="531" t="str">
        <f>IF(AND(ISNUMBER(#REF!),ISNUMBER(#REF!)),ROUND((#REF!*#REF!+#REF!*#REF!*#REF!)*#REF!*#REF!,0)," ")</f>
        <v xml:space="preserve"> </v>
      </c>
      <c r="F113" s="502">
        <f>SUM(F107:F111)</f>
        <v>0</v>
      </c>
    </row>
    <row r="114" spans="1:6" s="326" customFormat="1">
      <c r="A114" s="433"/>
      <c r="B114" s="328"/>
      <c r="C114" s="325"/>
      <c r="D114" s="346"/>
      <c r="E114" s="504"/>
      <c r="F114" s="502"/>
    </row>
    <row r="115" spans="1:6" s="330" customFormat="1">
      <c r="A115" s="427" t="s">
        <v>313</v>
      </c>
      <c r="B115" s="274" t="s">
        <v>314</v>
      </c>
      <c r="C115" s="329"/>
      <c r="D115" s="329"/>
      <c r="E115" s="505"/>
      <c r="F115" s="505"/>
    </row>
    <row r="116" spans="1:6" s="290" customFormat="1">
      <c r="A116" s="436"/>
      <c r="B116" s="289"/>
      <c r="C116" s="299"/>
      <c r="D116" s="299"/>
      <c r="E116" s="501"/>
      <c r="F116" s="501"/>
    </row>
    <row r="117" spans="1:6" s="290" customFormat="1">
      <c r="A117" s="437" t="s">
        <v>216</v>
      </c>
      <c r="B117" s="289" t="s">
        <v>315</v>
      </c>
      <c r="C117" s="299">
        <v>1</v>
      </c>
      <c r="D117" s="299" t="s">
        <v>257</v>
      </c>
      <c r="E117" s="527"/>
      <c r="F117" s="500" t="str">
        <f t="shared" ref="F117:F119" si="4">IF(AND(ISNUMBER(C117),ISNUMBER(E117)),C117*E117," ")</f>
        <v xml:space="preserve"> </v>
      </c>
    </row>
    <row r="118" spans="1:6" s="290" customFormat="1" ht="25.5">
      <c r="A118" s="437" t="s">
        <v>216</v>
      </c>
      <c r="B118" s="289" t="s">
        <v>316</v>
      </c>
      <c r="C118" s="299">
        <v>1</v>
      </c>
      <c r="D118" s="299" t="s">
        <v>257</v>
      </c>
      <c r="E118" s="527"/>
      <c r="F118" s="500" t="str">
        <f t="shared" si="4"/>
        <v xml:space="preserve"> </v>
      </c>
    </row>
    <row r="119" spans="1:6" s="289" customFormat="1" ht="25.5">
      <c r="A119" s="436" t="s">
        <v>216</v>
      </c>
      <c r="B119" s="289" t="s">
        <v>317</v>
      </c>
      <c r="C119" s="313">
        <v>2</v>
      </c>
      <c r="D119" s="286" t="s">
        <v>9</v>
      </c>
      <c r="E119" s="527"/>
      <c r="F119" s="500" t="str">
        <f t="shared" si="4"/>
        <v xml:space="preserve"> </v>
      </c>
    </row>
    <row r="120" spans="1:6" s="290" customFormat="1">
      <c r="A120" s="436"/>
      <c r="B120" s="289"/>
      <c r="C120" s="299"/>
      <c r="D120" s="299"/>
      <c r="E120" s="501"/>
      <c r="F120" s="501"/>
    </row>
    <row r="121" spans="1:6" s="330" customFormat="1">
      <c r="A121" s="427"/>
      <c r="B121" s="277" t="s">
        <v>318</v>
      </c>
      <c r="C121" s="329"/>
      <c r="D121" s="329"/>
      <c r="E121" s="532"/>
      <c r="F121" s="506">
        <f>SUM(F117:F119)</f>
        <v>0</v>
      </c>
    </row>
    <row r="122" spans="1:6" s="270" customFormat="1">
      <c r="A122" s="428"/>
      <c r="B122" s="281"/>
      <c r="C122" s="313"/>
      <c r="D122" s="313"/>
      <c r="E122" s="504"/>
      <c r="F122" s="504"/>
    </row>
    <row r="123" spans="1:6" s="270" customFormat="1">
      <c r="A123" s="428"/>
      <c r="B123" s="314" t="s">
        <v>13</v>
      </c>
      <c r="C123" s="313"/>
      <c r="D123" s="313"/>
      <c r="E123" s="504"/>
      <c r="F123" s="504"/>
    </row>
    <row r="124" spans="1:6" s="270" customFormat="1">
      <c r="A124" s="428"/>
      <c r="B124" s="281"/>
      <c r="C124" s="313"/>
      <c r="D124" s="313"/>
      <c r="E124" s="504" t="str">
        <f>IF(AND(ISNUMBER(#REF!),ISNUMBER(#REF!)),ROUND((#REF!*#REF!+#REF!*#REF!*#REF!)*(1+#REF!)*#REF!*#REF!*#REF!,2)," ")</f>
        <v xml:space="preserve"> </v>
      </c>
      <c r="F124" s="504"/>
    </row>
    <row r="125" spans="1:6" s="270" customFormat="1">
      <c r="A125" s="319" t="s">
        <v>213</v>
      </c>
      <c r="B125" s="314" t="s">
        <v>319</v>
      </c>
      <c r="C125" s="325">
        <v>1</v>
      </c>
      <c r="D125" s="347" t="s">
        <v>257</v>
      </c>
      <c r="E125" s="531"/>
      <c r="F125" s="502">
        <f>F62</f>
        <v>0</v>
      </c>
    </row>
    <row r="126" spans="1:6" s="270" customFormat="1">
      <c r="A126" s="319" t="s">
        <v>271</v>
      </c>
      <c r="B126" s="314" t="s">
        <v>272</v>
      </c>
      <c r="C126" s="325">
        <v>1</v>
      </c>
      <c r="D126" s="347" t="s">
        <v>257</v>
      </c>
      <c r="E126" s="531"/>
      <c r="F126" s="502">
        <f>F73</f>
        <v>0</v>
      </c>
    </row>
    <row r="127" spans="1:6" s="270" customFormat="1" ht="25.5">
      <c r="A127" s="319" t="s">
        <v>279</v>
      </c>
      <c r="B127" s="331" t="s">
        <v>280</v>
      </c>
      <c r="C127" s="325">
        <v>1</v>
      </c>
      <c r="D127" s="347" t="s">
        <v>257</v>
      </c>
      <c r="E127" s="531"/>
      <c r="F127" s="502">
        <f>F102</f>
        <v>0</v>
      </c>
    </row>
    <row r="128" spans="1:6" s="270" customFormat="1">
      <c r="A128" s="319" t="s">
        <v>305</v>
      </c>
      <c r="B128" s="314" t="s">
        <v>306</v>
      </c>
      <c r="C128" s="325">
        <v>1</v>
      </c>
      <c r="D128" s="347" t="s">
        <v>257</v>
      </c>
      <c r="E128" s="531"/>
      <c r="F128" s="502">
        <f>F113</f>
        <v>0</v>
      </c>
    </row>
    <row r="129" spans="1:6" s="270" customFormat="1">
      <c r="A129" s="319" t="s">
        <v>313</v>
      </c>
      <c r="B129" s="314" t="s">
        <v>314</v>
      </c>
      <c r="C129" s="325">
        <v>1</v>
      </c>
      <c r="D129" s="347" t="s">
        <v>257</v>
      </c>
      <c r="E129" s="531"/>
      <c r="F129" s="502">
        <f>F121</f>
        <v>0</v>
      </c>
    </row>
    <row r="130" spans="1:6" s="270" customFormat="1">
      <c r="A130" s="319" t="s">
        <v>320</v>
      </c>
      <c r="B130" s="332" t="s">
        <v>321</v>
      </c>
      <c r="C130" s="325">
        <v>1</v>
      </c>
      <c r="D130" s="347" t="s">
        <v>257</v>
      </c>
      <c r="E130" s="533"/>
      <c r="F130" s="500" t="str">
        <f t="shared" ref="F130:F135" si="5">IF(AND(ISNUMBER(C130),ISNUMBER(E130)),C130*E130," ")</f>
        <v xml:space="preserve"> </v>
      </c>
    </row>
    <row r="131" spans="1:6" s="270" customFormat="1">
      <c r="A131" s="319" t="s">
        <v>322</v>
      </c>
      <c r="B131" s="332" t="s">
        <v>323</v>
      </c>
      <c r="C131" s="325">
        <v>1</v>
      </c>
      <c r="D131" s="347" t="s">
        <v>257</v>
      </c>
      <c r="E131" s="533"/>
      <c r="F131" s="500" t="str">
        <f t="shared" si="5"/>
        <v xml:space="preserve"> </v>
      </c>
    </row>
    <row r="132" spans="1:6" s="270" customFormat="1" ht="38.25">
      <c r="A132" s="319" t="s">
        <v>324</v>
      </c>
      <c r="B132" s="332" t="s">
        <v>325</v>
      </c>
      <c r="C132" s="325">
        <v>1</v>
      </c>
      <c r="D132" s="347" t="s">
        <v>257</v>
      </c>
      <c r="E132" s="533"/>
      <c r="F132" s="500" t="str">
        <f t="shared" si="5"/>
        <v xml:space="preserve"> </v>
      </c>
    </row>
    <row r="133" spans="1:6" s="270" customFormat="1" ht="89.25">
      <c r="A133" s="319" t="s">
        <v>326</v>
      </c>
      <c r="B133" s="332" t="s">
        <v>327</v>
      </c>
      <c r="C133" s="325">
        <v>1</v>
      </c>
      <c r="D133" s="347" t="s">
        <v>257</v>
      </c>
      <c r="E133" s="533"/>
      <c r="F133" s="500" t="str">
        <f t="shared" si="5"/>
        <v xml:space="preserve"> </v>
      </c>
    </row>
    <row r="134" spans="1:6" s="270" customFormat="1">
      <c r="A134" s="319" t="s">
        <v>328</v>
      </c>
      <c r="B134" s="332" t="s">
        <v>329</v>
      </c>
      <c r="C134" s="325">
        <v>1</v>
      </c>
      <c r="D134" s="347" t="s">
        <v>257</v>
      </c>
      <c r="E134" s="533"/>
      <c r="F134" s="500" t="str">
        <f t="shared" si="5"/>
        <v xml:space="preserve"> </v>
      </c>
    </row>
    <row r="135" spans="1:6" s="270" customFormat="1">
      <c r="A135" s="319" t="s">
        <v>330</v>
      </c>
      <c r="B135" s="332" t="s">
        <v>331</v>
      </c>
      <c r="C135" s="325">
        <v>1</v>
      </c>
      <c r="D135" s="347" t="s">
        <v>257</v>
      </c>
      <c r="E135" s="533"/>
      <c r="F135" s="500" t="str">
        <f t="shared" si="5"/>
        <v xml:space="preserve"> </v>
      </c>
    </row>
    <row r="136" spans="1:6" s="270" customFormat="1">
      <c r="A136" s="438"/>
      <c r="B136" s="333"/>
      <c r="C136" s="334"/>
      <c r="D136" s="348"/>
      <c r="E136" s="507"/>
      <c r="F136" s="508"/>
    </row>
    <row r="137" spans="1:6" s="270" customFormat="1">
      <c r="A137" s="336"/>
      <c r="B137" s="335"/>
      <c r="C137" s="335"/>
      <c r="D137" s="349"/>
      <c r="E137" s="509" t="str">
        <f>IF(AND(ISNUMBER(#REF!),ISNUMBER(#REF!)),ROUND((#REF!*#REF!+#REF!*#REF!*#REF!)*(1+#REF!)*#REF!*#REF!*#REF!,2)," ")</f>
        <v xml:space="preserve"> </v>
      </c>
      <c r="F137" s="509"/>
    </row>
    <row r="138" spans="1:6" s="326" customFormat="1">
      <c r="A138" s="469"/>
      <c r="B138" s="470" t="s">
        <v>443</v>
      </c>
      <c r="C138" s="470"/>
      <c r="D138" s="471"/>
      <c r="E138" s="534" t="s">
        <v>332</v>
      </c>
      <c r="F138" s="510">
        <f>SUM(F125:F135)</f>
        <v>0</v>
      </c>
    </row>
    <row r="139" spans="1:6" s="270" customFormat="1">
      <c r="A139" s="272"/>
      <c r="D139" s="339"/>
      <c r="E139" s="273" t="str">
        <f>IF(AND(ISNUMBER(#REF!),ISNUMBER(#REF!)),ROUND((#REF!*#REF!+#REF!*#REF!*#REF!)*(1+#REF!)*#REF!*#REF!*#REF!,2)," ")</f>
        <v xml:space="preserve"> </v>
      </c>
      <c r="F139" s="273" t="str">
        <f t="shared" ref="F139:F140" si="6">IF(AND(ISNUMBER(C139),ISNUMBER(E139)),C139*E139," ")</f>
        <v xml:space="preserve"> </v>
      </c>
    </row>
    <row r="140" spans="1:6" s="270" customFormat="1">
      <c r="A140" s="272"/>
      <c r="D140" s="339"/>
      <c r="E140" s="273" t="str">
        <f>IF(AND(ISNUMBER(#REF!),ISNUMBER(#REF!)),ROUND((#REF!*#REF!+#REF!*#REF!*#REF!)*(1+#REF!)*#REF!*#REF!*#REF!,2)," ")</f>
        <v xml:space="preserve"> </v>
      </c>
      <c r="F140" s="273" t="str">
        <f t="shared" si="6"/>
        <v xml:space="preserve"> </v>
      </c>
    </row>
  </sheetData>
  <sheetProtection algorithmName="SHA-512" hashValue="PuOtMzWjEElzBbQGPBh5e02GUW0dNatDTyVQz2zrJ+YAzqyfEdT8OQ4Cu4k4MI31z9kQQD2QC9rAHbV6XXIcGw==" saltValue="WC6KxI2EqzRII689vCN9iw==" spinCount="100000" sheet="1" objects="1" scenarios="1"/>
  <conditionalFormatting sqref="E136:E137 E139:E64145 E1:E5">
    <cfRule type="cellIs" dxfId="3" priority="3" stopIfTrue="1" operator="equal">
      <formula>F1</formula>
    </cfRule>
  </conditionalFormatting>
  <conditionalFormatting sqref="E8:E9">
    <cfRule type="cellIs" dxfId="2" priority="2" stopIfTrue="1" operator="equal">
      <formula>F8</formula>
    </cfRule>
  </conditionalFormatting>
  <conditionalFormatting sqref="G45">
    <cfRule type="cellIs" dxfId="1" priority="1" stopIfTrue="1" operator="equal">
      <formula>H45</formula>
    </cfRule>
  </conditionalFormatting>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74" max="16383" man="1"/>
    <brk id="11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F83"/>
  <sheetViews>
    <sheetView showZeros="0" view="pageBreakPreview" zoomScaleNormal="100" zoomScaleSheetLayoutView="100" workbookViewId="0">
      <selection activeCell="H19" sqref="H19"/>
    </sheetView>
  </sheetViews>
  <sheetFormatPr defaultRowHeight="12.75"/>
  <cols>
    <col min="1" max="1" width="5.7109375" style="381" customWidth="1"/>
    <col min="2" max="2" width="46.7109375" style="295" customWidth="1"/>
    <col min="3" max="3" width="5.7109375" style="295" customWidth="1"/>
    <col min="4" max="4" width="5.7109375" style="383" customWidth="1"/>
    <col min="5" max="5" width="11.28515625" style="295" customWidth="1"/>
    <col min="6" max="6" width="12" style="295" customWidth="1"/>
    <col min="7" max="256" width="9.140625" style="295"/>
    <col min="257" max="257" width="5.7109375" style="295" customWidth="1"/>
    <col min="258" max="258" width="46.7109375" style="295" customWidth="1"/>
    <col min="259" max="260" width="5.7109375" style="295" customWidth="1"/>
    <col min="261" max="262" width="12.7109375" style="295" customWidth="1"/>
    <col min="263" max="512" width="9.140625" style="295"/>
    <col min="513" max="513" width="5.7109375" style="295" customWidth="1"/>
    <col min="514" max="514" width="46.7109375" style="295" customWidth="1"/>
    <col min="515" max="516" width="5.7109375" style="295" customWidth="1"/>
    <col min="517" max="518" width="12.7109375" style="295" customWidth="1"/>
    <col min="519" max="768" width="9.140625" style="295"/>
    <col min="769" max="769" width="5.7109375" style="295" customWidth="1"/>
    <col min="770" max="770" width="46.7109375" style="295" customWidth="1"/>
    <col min="771" max="772" width="5.7109375" style="295" customWidth="1"/>
    <col min="773" max="774" width="12.7109375" style="295" customWidth="1"/>
    <col min="775" max="1024" width="9.140625" style="295"/>
    <col min="1025" max="1025" width="5.7109375" style="295" customWidth="1"/>
    <col min="1026" max="1026" width="46.7109375" style="295" customWidth="1"/>
    <col min="1027" max="1028" width="5.7109375" style="295" customWidth="1"/>
    <col min="1029" max="1030" width="12.7109375" style="295" customWidth="1"/>
    <col min="1031" max="1280" width="9.140625" style="295"/>
    <col min="1281" max="1281" width="5.7109375" style="295" customWidth="1"/>
    <col min="1282" max="1282" width="46.7109375" style="295" customWidth="1"/>
    <col min="1283" max="1284" width="5.7109375" style="295" customWidth="1"/>
    <col min="1285" max="1286" width="12.7109375" style="295" customWidth="1"/>
    <col min="1287" max="1536" width="9.140625" style="295"/>
    <col min="1537" max="1537" width="5.7109375" style="295" customWidth="1"/>
    <col min="1538" max="1538" width="46.7109375" style="295" customWidth="1"/>
    <col min="1539" max="1540" width="5.7109375" style="295" customWidth="1"/>
    <col min="1541" max="1542" width="12.7109375" style="295" customWidth="1"/>
    <col min="1543" max="1792" width="9.140625" style="295"/>
    <col min="1793" max="1793" width="5.7109375" style="295" customWidth="1"/>
    <col min="1794" max="1794" width="46.7109375" style="295" customWidth="1"/>
    <col min="1795" max="1796" width="5.7109375" style="295" customWidth="1"/>
    <col min="1797" max="1798" width="12.7109375" style="295" customWidth="1"/>
    <col min="1799" max="2048" width="9.140625" style="295"/>
    <col min="2049" max="2049" width="5.7109375" style="295" customWidth="1"/>
    <col min="2050" max="2050" width="46.7109375" style="295" customWidth="1"/>
    <col min="2051" max="2052" width="5.7109375" style="295" customWidth="1"/>
    <col min="2053" max="2054" width="12.7109375" style="295" customWidth="1"/>
    <col min="2055" max="2304" width="9.140625" style="295"/>
    <col min="2305" max="2305" width="5.7109375" style="295" customWidth="1"/>
    <col min="2306" max="2306" width="46.7109375" style="295" customWidth="1"/>
    <col min="2307" max="2308" width="5.7109375" style="295" customWidth="1"/>
    <col min="2309" max="2310" width="12.7109375" style="295" customWidth="1"/>
    <col min="2311" max="2560" width="9.140625" style="295"/>
    <col min="2561" max="2561" width="5.7109375" style="295" customWidth="1"/>
    <col min="2562" max="2562" width="46.7109375" style="295" customWidth="1"/>
    <col min="2563" max="2564" width="5.7109375" style="295" customWidth="1"/>
    <col min="2565" max="2566" width="12.7109375" style="295" customWidth="1"/>
    <col min="2567" max="2816" width="9.140625" style="295"/>
    <col min="2817" max="2817" width="5.7109375" style="295" customWidth="1"/>
    <col min="2818" max="2818" width="46.7109375" style="295" customWidth="1"/>
    <col min="2819" max="2820" width="5.7109375" style="295" customWidth="1"/>
    <col min="2821" max="2822" width="12.7109375" style="295" customWidth="1"/>
    <col min="2823" max="3072" width="9.140625" style="295"/>
    <col min="3073" max="3073" width="5.7109375" style="295" customWidth="1"/>
    <col min="3074" max="3074" width="46.7109375" style="295" customWidth="1"/>
    <col min="3075" max="3076" width="5.7109375" style="295" customWidth="1"/>
    <col min="3077" max="3078" width="12.7109375" style="295" customWidth="1"/>
    <col min="3079" max="3328" width="9.140625" style="295"/>
    <col min="3329" max="3329" width="5.7109375" style="295" customWidth="1"/>
    <col min="3330" max="3330" width="46.7109375" style="295" customWidth="1"/>
    <col min="3331" max="3332" width="5.7109375" style="295" customWidth="1"/>
    <col min="3333" max="3334" width="12.7109375" style="295" customWidth="1"/>
    <col min="3335" max="3584" width="9.140625" style="295"/>
    <col min="3585" max="3585" width="5.7109375" style="295" customWidth="1"/>
    <col min="3586" max="3586" width="46.7109375" style="295" customWidth="1"/>
    <col min="3587" max="3588" width="5.7109375" style="295" customWidth="1"/>
    <col min="3589" max="3590" width="12.7109375" style="295" customWidth="1"/>
    <col min="3591" max="3840" width="9.140625" style="295"/>
    <col min="3841" max="3841" width="5.7109375" style="295" customWidth="1"/>
    <col min="3842" max="3842" width="46.7109375" style="295" customWidth="1"/>
    <col min="3843" max="3844" width="5.7109375" style="295" customWidth="1"/>
    <col min="3845" max="3846" width="12.7109375" style="295" customWidth="1"/>
    <col min="3847" max="4096" width="9.140625" style="295"/>
    <col min="4097" max="4097" width="5.7109375" style="295" customWidth="1"/>
    <col min="4098" max="4098" width="46.7109375" style="295" customWidth="1"/>
    <col min="4099" max="4100" width="5.7109375" style="295" customWidth="1"/>
    <col min="4101" max="4102" width="12.7109375" style="295" customWidth="1"/>
    <col min="4103" max="4352" width="9.140625" style="295"/>
    <col min="4353" max="4353" width="5.7109375" style="295" customWidth="1"/>
    <col min="4354" max="4354" width="46.7109375" style="295" customWidth="1"/>
    <col min="4355" max="4356" width="5.7109375" style="295" customWidth="1"/>
    <col min="4357" max="4358" width="12.7109375" style="295" customWidth="1"/>
    <col min="4359" max="4608" width="9.140625" style="295"/>
    <col min="4609" max="4609" width="5.7109375" style="295" customWidth="1"/>
    <col min="4610" max="4610" width="46.7109375" style="295" customWidth="1"/>
    <col min="4611" max="4612" width="5.7109375" style="295" customWidth="1"/>
    <col min="4613" max="4614" width="12.7109375" style="295" customWidth="1"/>
    <col min="4615" max="4864" width="9.140625" style="295"/>
    <col min="4865" max="4865" width="5.7109375" style="295" customWidth="1"/>
    <col min="4866" max="4866" width="46.7109375" style="295" customWidth="1"/>
    <col min="4867" max="4868" width="5.7109375" style="295" customWidth="1"/>
    <col min="4869" max="4870" width="12.7109375" style="295" customWidth="1"/>
    <col min="4871" max="5120" width="9.140625" style="295"/>
    <col min="5121" max="5121" width="5.7109375" style="295" customWidth="1"/>
    <col min="5122" max="5122" width="46.7109375" style="295" customWidth="1"/>
    <col min="5123" max="5124" width="5.7109375" style="295" customWidth="1"/>
    <col min="5125" max="5126" width="12.7109375" style="295" customWidth="1"/>
    <col min="5127" max="5376" width="9.140625" style="295"/>
    <col min="5377" max="5377" width="5.7109375" style="295" customWidth="1"/>
    <col min="5378" max="5378" width="46.7109375" style="295" customWidth="1"/>
    <col min="5379" max="5380" width="5.7109375" style="295" customWidth="1"/>
    <col min="5381" max="5382" width="12.7109375" style="295" customWidth="1"/>
    <col min="5383" max="5632" width="9.140625" style="295"/>
    <col min="5633" max="5633" width="5.7109375" style="295" customWidth="1"/>
    <col min="5634" max="5634" width="46.7109375" style="295" customWidth="1"/>
    <col min="5635" max="5636" width="5.7109375" style="295" customWidth="1"/>
    <col min="5637" max="5638" width="12.7109375" style="295" customWidth="1"/>
    <col min="5639" max="5888" width="9.140625" style="295"/>
    <col min="5889" max="5889" width="5.7109375" style="295" customWidth="1"/>
    <col min="5890" max="5890" width="46.7109375" style="295" customWidth="1"/>
    <col min="5891" max="5892" width="5.7109375" style="295" customWidth="1"/>
    <col min="5893" max="5894" width="12.7109375" style="295" customWidth="1"/>
    <col min="5895" max="6144" width="9.140625" style="295"/>
    <col min="6145" max="6145" width="5.7109375" style="295" customWidth="1"/>
    <col min="6146" max="6146" width="46.7109375" style="295" customWidth="1"/>
    <col min="6147" max="6148" width="5.7109375" style="295" customWidth="1"/>
    <col min="6149" max="6150" width="12.7109375" style="295" customWidth="1"/>
    <col min="6151" max="6400" width="9.140625" style="295"/>
    <col min="6401" max="6401" width="5.7109375" style="295" customWidth="1"/>
    <col min="6402" max="6402" width="46.7109375" style="295" customWidth="1"/>
    <col min="6403" max="6404" width="5.7109375" style="295" customWidth="1"/>
    <col min="6405" max="6406" width="12.7109375" style="295" customWidth="1"/>
    <col min="6407" max="6656" width="9.140625" style="295"/>
    <col min="6657" max="6657" width="5.7109375" style="295" customWidth="1"/>
    <col min="6658" max="6658" width="46.7109375" style="295" customWidth="1"/>
    <col min="6659" max="6660" width="5.7109375" style="295" customWidth="1"/>
    <col min="6661" max="6662" width="12.7109375" style="295" customWidth="1"/>
    <col min="6663" max="6912" width="9.140625" style="295"/>
    <col min="6913" max="6913" width="5.7109375" style="295" customWidth="1"/>
    <col min="6914" max="6914" width="46.7109375" style="295" customWidth="1"/>
    <col min="6915" max="6916" width="5.7109375" style="295" customWidth="1"/>
    <col min="6917" max="6918" width="12.7109375" style="295" customWidth="1"/>
    <col min="6919" max="7168" width="9.140625" style="295"/>
    <col min="7169" max="7169" width="5.7109375" style="295" customWidth="1"/>
    <col min="7170" max="7170" width="46.7109375" style="295" customWidth="1"/>
    <col min="7171" max="7172" width="5.7109375" style="295" customWidth="1"/>
    <col min="7173" max="7174" width="12.7109375" style="295" customWidth="1"/>
    <col min="7175" max="7424" width="9.140625" style="295"/>
    <col min="7425" max="7425" width="5.7109375" style="295" customWidth="1"/>
    <col min="7426" max="7426" width="46.7109375" style="295" customWidth="1"/>
    <col min="7427" max="7428" width="5.7109375" style="295" customWidth="1"/>
    <col min="7429" max="7430" width="12.7109375" style="295" customWidth="1"/>
    <col min="7431" max="7680" width="9.140625" style="295"/>
    <col min="7681" max="7681" width="5.7109375" style="295" customWidth="1"/>
    <col min="7682" max="7682" width="46.7109375" style="295" customWidth="1"/>
    <col min="7683" max="7684" width="5.7109375" style="295" customWidth="1"/>
    <col min="7685" max="7686" width="12.7109375" style="295" customWidth="1"/>
    <col min="7687" max="7936" width="9.140625" style="295"/>
    <col min="7937" max="7937" width="5.7109375" style="295" customWidth="1"/>
    <col min="7938" max="7938" width="46.7109375" style="295" customWidth="1"/>
    <col min="7939" max="7940" width="5.7109375" style="295" customWidth="1"/>
    <col min="7941" max="7942" width="12.7109375" style="295" customWidth="1"/>
    <col min="7943" max="8192" width="9.140625" style="295"/>
    <col min="8193" max="8193" width="5.7109375" style="295" customWidth="1"/>
    <col min="8194" max="8194" width="46.7109375" style="295" customWidth="1"/>
    <col min="8195" max="8196" width="5.7109375" style="295" customWidth="1"/>
    <col min="8197" max="8198" width="12.7109375" style="295" customWidth="1"/>
    <col min="8199" max="8448" width="9.140625" style="295"/>
    <col min="8449" max="8449" width="5.7109375" style="295" customWidth="1"/>
    <col min="8450" max="8450" width="46.7109375" style="295" customWidth="1"/>
    <col min="8451" max="8452" width="5.7109375" style="295" customWidth="1"/>
    <col min="8453" max="8454" width="12.7109375" style="295" customWidth="1"/>
    <col min="8455" max="8704" width="9.140625" style="295"/>
    <col min="8705" max="8705" width="5.7109375" style="295" customWidth="1"/>
    <col min="8706" max="8706" width="46.7109375" style="295" customWidth="1"/>
    <col min="8707" max="8708" width="5.7109375" style="295" customWidth="1"/>
    <col min="8709" max="8710" width="12.7109375" style="295" customWidth="1"/>
    <col min="8711" max="8960" width="9.140625" style="295"/>
    <col min="8961" max="8961" width="5.7109375" style="295" customWidth="1"/>
    <col min="8962" max="8962" width="46.7109375" style="295" customWidth="1"/>
    <col min="8963" max="8964" width="5.7109375" style="295" customWidth="1"/>
    <col min="8965" max="8966" width="12.7109375" style="295" customWidth="1"/>
    <col min="8967" max="9216" width="9.140625" style="295"/>
    <col min="9217" max="9217" width="5.7109375" style="295" customWidth="1"/>
    <col min="9218" max="9218" width="46.7109375" style="295" customWidth="1"/>
    <col min="9219" max="9220" width="5.7109375" style="295" customWidth="1"/>
    <col min="9221" max="9222" width="12.7109375" style="295" customWidth="1"/>
    <col min="9223" max="9472" width="9.140625" style="295"/>
    <col min="9473" max="9473" width="5.7109375" style="295" customWidth="1"/>
    <col min="9474" max="9474" width="46.7109375" style="295" customWidth="1"/>
    <col min="9475" max="9476" width="5.7109375" style="295" customWidth="1"/>
    <col min="9477" max="9478" width="12.7109375" style="295" customWidth="1"/>
    <col min="9479" max="9728" width="9.140625" style="295"/>
    <col min="9729" max="9729" width="5.7109375" style="295" customWidth="1"/>
    <col min="9730" max="9730" width="46.7109375" style="295" customWidth="1"/>
    <col min="9731" max="9732" width="5.7109375" style="295" customWidth="1"/>
    <col min="9733" max="9734" width="12.7109375" style="295" customWidth="1"/>
    <col min="9735" max="9984" width="9.140625" style="295"/>
    <col min="9985" max="9985" width="5.7109375" style="295" customWidth="1"/>
    <col min="9986" max="9986" width="46.7109375" style="295" customWidth="1"/>
    <col min="9987" max="9988" width="5.7109375" style="295" customWidth="1"/>
    <col min="9989" max="9990" width="12.7109375" style="295" customWidth="1"/>
    <col min="9991" max="10240" width="9.140625" style="295"/>
    <col min="10241" max="10241" width="5.7109375" style="295" customWidth="1"/>
    <col min="10242" max="10242" width="46.7109375" style="295" customWidth="1"/>
    <col min="10243" max="10244" width="5.7109375" style="295" customWidth="1"/>
    <col min="10245" max="10246" width="12.7109375" style="295" customWidth="1"/>
    <col min="10247" max="10496" width="9.140625" style="295"/>
    <col min="10497" max="10497" width="5.7109375" style="295" customWidth="1"/>
    <col min="10498" max="10498" width="46.7109375" style="295" customWidth="1"/>
    <col min="10499" max="10500" width="5.7109375" style="295" customWidth="1"/>
    <col min="10501" max="10502" width="12.7109375" style="295" customWidth="1"/>
    <col min="10503" max="10752" width="9.140625" style="295"/>
    <col min="10753" max="10753" width="5.7109375" style="295" customWidth="1"/>
    <col min="10754" max="10754" width="46.7109375" style="295" customWidth="1"/>
    <col min="10755" max="10756" width="5.7109375" style="295" customWidth="1"/>
    <col min="10757" max="10758" width="12.7109375" style="295" customWidth="1"/>
    <col min="10759" max="11008" width="9.140625" style="295"/>
    <col min="11009" max="11009" width="5.7109375" style="295" customWidth="1"/>
    <col min="11010" max="11010" width="46.7109375" style="295" customWidth="1"/>
    <col min="11011" max="11012" width="5.7109375" style="295" customWidth="1"/>
    <col min="11013" max="11014" width="12.7109375" style="295" customWidth="1"/>
    <col min="11015" max="11264" width="9.140625" style="295"/>
    <col min="11265" max="11265" width="5.7109375" style="295" customWidth="1"/>
    <col min="11266" max="11266" width="46.7109375" style="295" customWidth="1"/>
    <col min="11267" max="11268" width="5.7109375" style="295" customWidth="1"/>
    <col min="11269" max="11270" width="12.7109375" style="295" customWidth="1"/>
    <col min="11271" max="11520" width="9.140625" style="295"/>
    <col min="11521" max="11521" width="5.7109375" style="295" customWidth="1"/>
    <col min="11522" max="11522" width="46.7109375" style="295" customWidth="1"/>
    <col min="11523" max="11524" width="5.7109375" style="295" customWidth="1"/>
    <col min="11525" max="11526" width="12.7109375" style="295" customWidth="1"/>
    <col min="11527" max="11776" width="9.140625" style="295"/>
    <col min="11777" max="11777" width="5.7109375" style="295" customWidth="1"/>
    <col min="11778" max="11778" width="46.7109375" style="295" customWidth="1"/>
    <col min="11779" max="11780" width="5.7109375" style="295" customWidth="1"/>
    <col min="11781" max="11782" width="12.7109375" style="295" customWidth="1"/>
    <col min="11783" max="12032" width="9.140625" style="295"/>
    <col min="12033" max="12033" width="5.7109375" style="295" customWidth="1"/>
    <col min="12034" max="12034" width="46.7109375" style="295" customWidth="1"/>
    <col min="12035" max="12036" width="5.7109375" style="295" customWidth="1"/>
    <col min="12037" max="12038" width="12.7109375" style="295" customWidth="1"/>
    <col min="12039" max="12288" width="9.140625" style="295"/>
    <col min="12289" max="12289" width="5.7109375" style="295" customWidth="1"/>
    <col min="12290" max="12290" width="46.7109375" style="295" customWidth="1"/>
    <col min="12291" max="12292" width="5.7109375" style="295" customWidth="1"/>
    <col min="12293" max="12294" width="12.7109375" style="295" customWidth="1"/>
    <col min="12295" max="12544" width="9.140625" style="295"/>
    <col min="12545" max="12545" width="5.7109375" style="295" customWidth="1"/>
    <col min="12546" max="12546" width="46.7109375" style="295" customWidth="1"/>
    <col min="12547" max="12548" width="5.7109375" style="295" customWidth="1"/>
    <col min="12549" max="12550" width="12.7109375" style="295" customWidth="1"/>
    <col min="12551" max="12800" width="9.140625" style="295"/>
    <col min="12801" max="12801" width="5.7109375" style="295" customWidth="1"/>
    <col min="12802" max="12802" width="46.7109375" style="295" customWidth="1"/>
    <col min="12803" max="12804" width="5.7109375" style="295" customWidth="1"/>
    <col min="12805" max="12806" width="12.7109375" style="295" customWidth="1"/>
    <col min="12807" max="13056" width="9.140625" style="295"/>
    <col min="13057" max="13057" width="5.7109375" style="295" customWidth="1"/>
    <col min="13058" max="13058" width="46.7109375" style="295" customWidth="1"/>
    <col min="13059" max="13060" width="5.7109375" style="295" customWidth="1"/>
    <col min="13061" max="13062" width="12.7109375" style="295" customWidth="1"/>
    <col min="13063" max="13312" width="9.140625" style="295"/>
    <col min="13313" max="13313" width="5.7109375" style="295" customWidth="1"/>
    <col min="13314" max="13314" width="46.7109375" style="295" customWidth="1"/>
    <col min="13315" max="13316" width="5.7109375" style="295" customWidth="1"/>
    <col min="13317" max="13318" width="12.7109375" style="295" customWidth="1"/>
    <col min="13319" max="13568" width="9.140625" style="295"/>
    <col min="13569" max="13569" width="5.7109375" style="295" customWidth="1"/>
    <col min="13570" max="13570" width="46.7109375" style="295" customWidth="1"/>
    <col min="13571" max="13572" width="5.7109375" style="295" customWidth="1"/>
    <col min="13573" max="13574" width="12.7109375" style="295" customWidth="1"/>
    <col min="13575" max="13824" width="9.140625" style="295"/>
    <col min="13825" max="13825" width="5.7109375" style="295" customWidth="1"/>
    <col min="13826" max="13826" width="46.7109375" style="295" customWidth="1"/>
    <col min="13827" max="13828" width="5.7109375" style="295" customWidth="1"/>
    <col min="13829" max="13830" width="12.7109375" style="295" customWidth="1"/>
    <col min="13831" max="14080" width="9.140625" style="295"/>
    <col min="14081" max="14081" width="5.7109375" style="295" customWidth="1"/>
    <col min="14082" max="14082" width="46.7109375" style="295" customWidth="1"/>
    <col min="14083" max="14084" width="5.7109375" style="295" customWidth="1"/>
    <col min="14085" max="14086" width="12.7109375" style="295" customWidth="1"/>
    <col min="14087" max="14336" width="9.140625" style="295"/>
    <col min="14337" max="14337" width="5.7109375" style="295" customWidth="1"/>
    <col min="14338" max="14338" width="46.7109375" style="295" customWidth="1"/>
    <col min="14339" max="14340" width="5.7109375" style="295" customWidth="1"/>
    <col min="14341" max="14342" width="12.7109375" style="295" customWidth="1"/>
    <col min="14343" max="14592" width="9.140625" style="295"/>
    <col min="14593" max="14593" width="5.7109375" style="295" customWidth="1"/>
    <col min="14594" max="14594" width="46.7109375" style="295" customWidth="1"/>
    <col min="14595" max="14596" width="5.7109375" style="295" customWidth="1"/>
    <col min="14597" max="14598" width="12.7109375" style="295" customWidth="1"/>
    <col min="14599" max="14848" width="9.140625" style="295"/>
    <col min="14849" max="14849" width="5.7109375" style="295" customWidth="1"/>
    <col min="14850" max="14850" width="46.7109375" style="295" customWidth="1"/>
    <col min="14851" max="14852" width="5.7109375" style="295" customWidth="1"/>
    <col min="14853" max="14854" width="12.7109375" style="295" customWidth="1"/>
    <col min="14855" max="15104" width="9.140625" style="295"/>
    <col min="15105" max="15105" width="5.7109375" style="295" customWidth="1"/>
    <col min="15106" max="15106" width="46.7109375" style="295" customWidth="1"/>
    <col min="15107" max="15108" width="5.7109375" style="295" customWidth="1"/>
    <col min="15109" max="15110" width="12.7109375" style="295" customWidth="1"/>
    <col min="15111" max="15360" width="9.140625" style="295"/>
    <col min="15361" max="15361" width="5.7109375" style="295" customWidth="1"/>
    <col min="15362" max="15362" width="46.7109375" style="295" customWidth="1"/>
    <col min="15363" max="15364" width="5.7109375" style="295" customWidth="1"/>
    <col min="15365" max="15366" width="12.7109375" style="295" customWidth="1"/>
    <col min="15367" max="15616" width="9.140625" style="295"/>
    <col min="15617" max="15617" width="5.7109375" style="295" customWidth="1"/>
    <col min="15618" max="15618" width="46.7109375" style="295" customWidth="1"/>
    <col min="15619" max="15620" width="5.7109375" style="295" customWidth="1"/>
    <col min="15621" max="15622" width="12.7109375" style="295" customWidth="1"/>
    <col min="15623" max="15872" width="9.140625" style="295"/>
    <col min="15873" max="15873" width="5.7109375" style="295" customWidth="1"/>
    <col min="15874" max="15874" width="46.7109375" style="295" customWidth="1"/>
    <col min="15875" max="15876" width="5.7109375" style="295" customWidth="1"/>
    <col min="15877" max="15878" width="12.7109375" style="295" customWidth="1"/>
    <col min="15879" max="16128" width="9.140625" style="295"/>
    <col min="16129" max="16129" width="5.7109375" style="295" customWidth="1"/>
    <col min="16130" max="16130" width="46.7109375" style="295" customWidth="1"/>
    <col min="16131" max="16132" width="5.7109375" style="295" customWidth="1"/>
    <col min="16133" max="16134" width="12.7109375" style="295" customWidth="1"/>
    <col min="16135" max="16384" width="9.140625" style="295"/>
  </cols>
  <sheetData>
    <row r="1" spans="1:6" ht="14.25">
      <c r="B1" s="382"/>
      <c r="E1" s="384"/>
      <c r="F1" s="384"/>
    </row>
    <row r="2" spans="1:6" ht="15">
      <c r="A2" s="386"/>
      <c r="B2" s="463" t="s">
        <v>438</v>
      </c>
      <c r="E2" s="384"/>
      <c r="F2" s="384"/>
    </row>
    <row r="3" spans="1:6" ht="14.25">
      <c r="B3" s="382"/>
      <c r="E3" s="384"/>
      <c r="F3" s="384"/>
    </row>
    <row r="4" spans="1:6" s="387" customFormat="1" ht="12">
      <c r="A4" s="467" t="s">
        <v>207</v>
      </c>
      <c r="B4" s="467" t="s">
        <v>208</v>
      </c>
      <c r="C4" s="467" t="s">
        <v>209</v>
      </c>
      <c r="D4" s="467" t="s">
        <v>422</v>
      </c>
      <c r="E4" s="468" t="s">
        <v>211</v>
      </c>
      <c r="F4" s="468" t="s">
        <v>212</v>
      </c>
    </row>
    <row r="5" spans="1:6" ht="14.25">
      <c r="B5" s="388"/>
      <c r="E5" s="389"/>
      <c r="F5" s="389"/>
    </row>
    <row r="6" spans="1:6" s="394" customFormat="1">
      <c r="A6" s="390" t="s">
        <v>213</v>
      </c>
      <c r="B6" s="391" t="s">
        <v>444</v>
      </c>
      <c r="C6" s="392"/>
      <c r="D6" s="391"/>
      <c r="E6" s="393"/>
      <c r="F6" s="393"/>
    </row>
    <row r="7" spans="1:6">
      <c r="A7" s="395"/>
      <c r="B7" s="383" t="s">
        <v>423</v>
      </c>
      <c r="C7" s="300"/>
      <c r="E7" s="393"/>
      <c r="F7" s="393"/>
    </row>
    <row r="8" spans="1:6">
      <c r="A8" s="395"/>
      <c r="B8" s="383"/>
      <c r="C8" s="300"/>
      <c r="E8" s="393"/>
      <c r="F8" s="393"/>
    </row>
    <row r="9" spans="1:6" s="394" customFormat="1" ht="76.5">
      <c r="A9" s="293" t="s">
        <v>216</v>
      </c>
      <c r="B9" s="396" t="s">
        <v>445</v>
      </c>
      <c r="C9" s="295">
        <v>1</v>
      </c>
      <c r="D9" s="383" t="s">
        <v>6</v>
      </c>
      <c r="E9" s="522"/>
      <c r="F9" s="511" t="str">
        <f t="shared" ref="F9:F14" si="0">IF(AND(ISNUMBER(C9),ISNUMBER(E9)),C9*E9," ")</f>
        <v xml:space="preserve"> </v>
      </c>
    </row>
    <row r="10" spans="1:6" ht="15">
      <c r="A10" s="293" t="s">
        <v>216</v>
      </c>
      <c r="B10" s="306" t="s">
        <v>424</v>
      </c>
      <c r="C10" s="295">
        <v>1</v>
      </c>
      <c r="D10" s="383" t="s">
        <v>6</v>
      </c>
      <c r="E10" s="522"/>
      <c r="F10" s="511" t="str">
        <f t="shared" si="0"/>
        <v xml:space="preserve"> </v>
      </c>
    </row>
    <row r="11" spans="1:6" ht="51.75">
      <c r="A11" s="304" t="s">
        <v>216</v>
      </c>
      <c r="B11" s="296" t="s">
        <v>425</v>
      </c>
      <c r="C11" s="397">
        <v>1</v>
      </c>
      <c r="D11" s="397" t="s">
        <v>6</v>
      </c>
      <c r="E11" s="522"/>
      <c r="F11" s="511" t="str">
        <f t="shared" si="0"/>
        <v xml:space="preserve"> </v>
      </c>
    </row>
    <row r="12" spans="1:6" ht="63.75">
      <c r="A12" s="304" t="s">
        <v>216</v>
      </c>
      <c r="B12" s="396" t="s">
        <v>426</v>
      </c>
      <c r="C12" s="397">
        <v>3</v>
      </c>
      <c r="D12" s="397" t="s">
        <v>6</v>
      </c>
      <c r="E12" s="522"/>
      <c r="F12" s="511" t="str">
        <f t="shared" si="0"/>
        <v xml:space="preserve"> </v>
      </c>
    </row>
    <row r="13" spans="1:6" ht="15">
      <c r="A13" s="304" t="s">
        <v>216</v>
      </c>
      <c r="B13" s="398" t="s">
        <v>446</v>
      </c>
      <c r="C13" s="399">
        <v>1</v>
      </c>
      <c r="D13" s="399" t="s">
        <v>6</v>
      </c>
      <c r="E13" s="522"/>
      <c r="F13" s="511" t="str">
        <f t="shared" si="0"/>
        <v xml:space="preserve"> </v>
      </c>
    </row>
    <row r="14" spans="1:6" s="401" customFormat="1" ht="15">
      <c r="A14" s="400" t="s">
        <v>216</v>
      </c>
      <c r="B14" s="401" t="s">
        <v>427</v>
      </c>
      <c r="C14" s="402">
        <v>1</v>
      </c>
      <c r="D14" s="403" t="s">
        <v>257</v>
      </c>
      <c r="E14" s="523"/>
      <c r="F14" s="511" t="str">
        <f t="shared" si="0"/>
        <v xml:space="preserve"> </v>
      </c>
    </row>
    <row r="15" spans="1:6" s="401" customFormat="1">
      <c r="A15" s="400"/>
      <c r="C15" s="402"/>
      <c r="D15" s="403"/>
      <c r="E15" s="523"/>
      <c r="F15" s="513"/>
    </row>
    <row r="16" spans="1:6" s="394" customFormat="1">
      <c r="A16" s="404"/>
      <c r="B16" s="405" t="s">
        <v>428</v>
      </c>
      <c r="C16" s="405"/>
      <c r="D16" s="391"/>
      <c r="E16" s="524"/>
      <c r="F16" s="514">
        <f>SUM(F9:F15)</f>
        <v>0</v>
      </c>
    </row>
    <row r="17" spans="1:6" s="394" customFormat="1">
      <c r="A17" s="404"/>
      <c r="B17" s="405"/>
      <c r="C17" s="405"/>
      <c r="D17" s="391"/>
      <c r="E17" s="513"/>
      <c r="F17" s="514"/>
    </row>
    <row r="18" spans="1:6" s="394" customFormat="1">
      <c r="A18" s="404"/>
      <c r="B18" s="405"/>
      <c r="C18" s="405"/>
      <c r="D18" s="391"/>
      <c r="E18" s="513"/>
      <c r="F18" s="514"/>
    </row>
    <row r="19" spans="1:6" s="394" customFormat="1">
      <c r="A19" s="392" t="s">
        <v>271</v>
      </c>
      <c r="B19" s="394" t="s">
        <v>272</v>
      </c>
      <c r="C19" s="405"/>
      <c r="D19" s="392"/>
      <c r="E19" s="513"/>
      <c r="F19" s="513"/>
    </row>
    <row r="20" spans="1:6">
      <c r="A20" s="395"/>
      <c r="B20" s="383" t="s">
        <v>447</v>
      </c>
      <c r="C20" s="300"/>
      <c r="E20" s="513"/>
      <c r="F20" s="513"/>
    </row>
    <row r="21" spans="1:6">
      <c r="A21" s="395"/>
      <c r="B21" s="383"/>
      <c r="C21" s="300"/>
      <c r="E21" s="513"/>
      <c r="F21" s="513"/>
    </row>
    <row r="22" spans="1:6" ht="25.5">
      <c r="A22" s="395" t="s">
        <v>216</v>
      </c>
      <c r="B22" s="406" t="s">
        <v>448</v>
      </c>
      <c r="C22" s="300">
        <v>42</v>
      </c>
      <c r="D22" s="383" t="s">
        <v>9</v>
      </c>
      <c r="E22" s="522"/>
      <c r="F22" s="511" t="str">
        <f>IF(AND(ISNUMBER(C22),ISNUMBER(E22)),C22*E22," ")</f>
        <v xml:space="preserve"> </v>
      </c>
    </row>
    <row r="23" spans="1:6" ht="15">
      <c r="B23" s="443"/>
      <c r="C23" s="300"/>
      <c r="E23" s="511"/>
      <c r="F23" s="511"/>
    </row>
    <row r="24" spans="1:6">
      <c r="B24" s="443"/>
      <c r="C24" s="300"/>
      <c r="E24" s="513"/>
      <c r="F24" s="513"/>
    </row>
    <row r="25" spans="1:6" s="394" customFormat="1">
      <c r="A25" s="392"/>
      <c r="B25" s="405" t="s">
        <v>449</v>
      </c>
      <c r="C25" s="405"/>
      <c r="D25" s="392"/>
      <c r="E25" s="513"/>
      <c r="F25" s="514">
        <f>SUM(F22:F24)</f>
        <v>0</v>
      </c>
    </row>
    <row r="26" spans="1:6" s="394" customFormat="1">
      <c r="A26" s="392"/>
      <c r="B26" s="405"/>
      <c r="C26" s="405"/>
      <c r="D26" s="392"/>
      <c r="E26" s="513"/>
      <c r="F26" s="514"/>
    </row>
    <row r="27" spans="1:6" s="394" customFormat="1">
      <c r="A27" s="392" t="s">
        <v>279</v>
      </c>
      <c r="B27" s="394" t="s">
        <v>314</v>
      </c>
      <c r="C27" s="405"/>
      <c r="D27" s="392"/>
      <c r="E27" s="513"/>
      <c r="F27" s="514"/>
    </row>
    <row r="28" spans="1:6" s="394" customFormat="1">
      <c r="A28" s="381"/>
      <c r="B28" s="295"/>
      <c r="C28" s="300"/>
      <c r="D28" s="381"/>
      <c r="E28" s="513"/>
      <c r="F28" s="514"/>
    </row>
    <row r="29" spans="1:6" s="394" customFormat="1" ht="15">
      <c r="A29" s="444" t="s">
        <v>216</v>
      </c>
      <c r="B29" s="295" t="s">
        <v>315</v>
      </c>
      <c r="C29" s="295">
        <v>1</v>
      </c>
      <c r="D29" s="295" t="s">
        <v>257</v>
      </c>
      <c r="E29" s="522"/>
      <c r="F29" s="511" t="str">
        <f t="shared" ref="F29:F36" si="1">IF(AND(ISNUMBER(C29),ISNUMBER(E29)),C29*E29," ")</f>
        <v xml:space="preserve"> </v>
      </c>
    </row>
    <row r="30" spans="1:6" s="394" customFormat="1" ht="26.25">
      <c r="A30" s="444" t="s">
        <v>216</v>
      </c>
      <c r="B30" s="295" t="s">
        <v>450</v>
      </c>
      <c r="C30" s="295">
        <v>1</v>
      </c>
      <c r="D30" s="295" t="s">
        <v>257</v>
      </c>
      <c r="E30" s="522"/>
      <c r="F30" s="511" t="str">
        <f t="shared" si="1"/>
        <v xml:space="preserve"> </v>
      </c>
    </row>
    <row r="31" spans="1:6" s="394" customFormat="1" ht="38.25">
      <c r="A31" s="445" t="s">
        <v>216</v>
      </c>
      <c r="B31" s="446" t="s">
        <v>451</v>
      </c>
      <c r="C31" s="447">
        <v>30</v>
      </c>
      <c r="D31" s="448" t="s">
        <v>9</v>
      </c>
      <c r="E31" s="522"/>
      <c r="F31" s="511" t="str">
        <f t="shared" si="1"/>
        <v xml:space="preserve"> </v>
      </c>
    </row>
    <row r="32" spans="1:6" s="394" customFormat="1" ht="25.5">
      <c r="A32" s="445" t="s">
        <v>216</v>
      </c>
      <c r="B32" s="446" t="s">
        <v>452</v>
      </c>
      <c r="C32" s="447">
        <v>10</v>
      </c>
      <c r="D32" s="448" t="s">
        <v>453</v>
      </c>
      <c r="E32" s="522"/>
      <c r="F32" s="511" t="str">
        <f>IF(AND(ISNUMBER(C32),ISNUMBER(E32)),C32*E32," ")</f>
        <v xml:space="preserve"> </v>
      </c>
    </row>
    <row r="33" spans="1:6" s="394" customFormat="1" ht="15">
      <c r="A33" s="445" t="s">
        <v>216</v>
      </c>
      <c r="B33" s="446" t="s">
        <v>454</v>
      </c>
      <c r="C33" s="447">
        <v>30</v>
      </c>
      <c r="D33" s="448" t="s">
        <v>9</v>
      </c>
      <c r="E33" s="522"/>
      <c r="F33" s="511" t="str">
        <f>IF(AND(ISNUMBER(C33),ISNUMBER(E33)),C33*E33," ")</f>
        <v xml:space="preserve"> </v>
      </c>
    </row>
    <row r="34" spans="1:6" s="394" customFormat="1" ht="38.25">
      <c r="A34" s="445" t="s">
        <v>216</v>
      </c>
      <c r="B34" s="446" t="s">
        <v>455</v>
      </c>
      <c r="C34" s="447">
        <v>10</v>
      </c>
      <c r="D34" s="448" t="s">
        <v>453</v>
      </c>
      <c r="E34" s="522"/>
      <c r="F34" s="511" t="str">
        <f>IF(AND(ISNUMBER(C34),ISNUMBER(E34)),C34*E34," ")</f>
        <v xml:space="preserve"> </v>
      </c>
    </row>
    <row r="35" spans="1:6" s="394" customFormat="1" ht="15">
      <c r="A35" s="445" t="s">
        <v>216</v>
      </c>
      <c r="B35" s="449" t="s">
        <v>456</v>
      </c>
      <c r="C35" s="447">
        <v>30</v>
      </c>
      <c r="D35" s="448" t="s">
        <v>9</v>
      </c>
      <c r="E35" s="522"/>
      <c r="F35" s="511" t="str">
        <f t="shared" si="1"/>
        <v xml:space="preserve"> </v>
      </c>
    </row>
    <row r="36" spans="1:6" s="394" customFormat="1" ht="15">
      <c r="A36" s="445" t="s">
        <v>216</v>
      </c>
      <c r="B36" s="450" t="s">
        <v>457</v>
      </c>
      <c r="C36" s="451">
        <v>30</v>
      </c>
      <c r="D36" s="449" t="s">
        <v>9</v>
      </c>
      <c r="E36" s="522"/>
      <c r="F36" s="511" t="str">
        <f t="shared" si="1"/>
        <v xml:space="preserve"> </v>
      </c>
    </row>
    <row r="37" spans="1:6" s="394" customFormat="1">
      <c r="A37" s="452"/>
      <c r="B37" s="450"/>
      <c r="C37" s="453"/>
      <c r="D37" s="454"/>
      <c r="E37" s="513"/>
      <c r="F37" s="514"/>
    </row>
    <row r="38" spans="1:6" s="394" customFormat="1">
      <c r="A38" s="392"/>
      <c r="B38" s="405" t="s">
        <v>318</v>
      </c>
      <c r="C38" s="405"/>
      <c r="D38" s="392"/>
      <c r="E38" s="524"/>
      <c r="F38" s="514">
        <f>SUM(F29:F36)</f>
        <v>0</v>
      </c>
    </row>
    <row r="39" spans="1:6" s="394" customFormat="1">
      <c r="A39" s="392"/>
      <c r="B39" s="405"/>
      <c r="C39" s="405"/>
      <c r="D39" s="392"/>
      <c r="E39" s="515"/>
      <c r="F39" s="514"/>
    </row>
    <row r="40" spans="1:6" s="394" customFormat="1">
      <c r="A40" s="392"/>
      <c r="B40" s="405"/>
      <c r="C40" s="405"/>
      <c r="D40" s="392"/>
      <c r="E40" s="513"/>
      <c r="F40" s="514"/>
    </row>
    <row r="41" spans="1:6" s="394" customFormat="1">
      <c r="A41" s="392" t="s">
        <v>305</v>
      </c>
      <c r="B41" s="394" t="s">
        <v>429</v>
      </c>
      <c r="C41" s="405"/>
      <c r="D41" s="392"/>
      <c r="E41" s="513"/>
      <c r="F41" s="513"/>
    </row>
    <row r="42" spans="1:6">
      <c r="A42" s="395"/>
      <c r="B42" s="383" t="s">
        <v>215</v>
      </c>
      <c r="C42" s="300"/>
      <c r="E42" s="513"/>
      <c r="F42" s="513"/>
    </row>
    <row r="43" spans="1:6">
      <c r="C43" s="300"/>
      <c r="D43" s="381"/>
      <c r="E43" s="513"/>
      <c r="F43" s="513"/>
    </row>
    <row r="44" spans="1:6" ht="15">
      <c r="A44" s="381" t="s">
        <v>216</v>
      </c>
      <c r="B44" s="295" t="s">
        <v>458</v>
      </c>
      <c r="C44" s="295">
        <v>50</v>
      </c>
      <c r="D44" s="383" t="s">
        <v>9</v>
      </c>
      <c r="E44" s="522"/>
      <c r="F44" s="511" t="str">
        <f t="shared" ref="F44:F57" si="2">IF(AND(ISNUMBER(C44),ISNUMBER(E44)),C44*E44," ")</f>
        <v xml:space="preserve"> </v>
      </c>
    </row>
    <row r="45" spans="1:6" ht="15">
      <c r="A45" s="381" t="s">
        <v>216</v>
      </c>
      <c r="B45" s="295" t="s">
        <v>459</v>
      </c>
      <c r="C45" s="295">
        <v>4</v>
      </c>
      <c r="D45" s="383" t="s">
        <v>6</v>
      </c>
      <c r="E45" s="522"/>
      <c r="F45" s="511" t="str">
        <f t="shared" si="2"/>
        <v xml:space="preserve"> </v>
      </c>
    </row>
    <row r="46" spans="1:6" ht="38.25">
      <c r="A46" s="395" t="s">
        <v>216</v>
      </c>
      <c r="B46" s="406" t="s">
        <v>460</v>
      </c>
      <c r="C46" s="295">
        <v>2</v>
      </c>
      <c r="D46" s="407" t="s">
        <v>257</v>
      </c>
      <c r="E46" s="522"/>
      <c r="F46" s="511" t="str">
        <f t="shared" si="2"/>
        <v xml:space="preserve"> </v>
      </c>
    </row>
    <row r="47" spans="1:6" ht="39">
      <c r="A47" s="395" t="s">
        <v>216</v>
      </c>
      <c r="B47" s="295" t="s">
        <v>461</v>
      </c>
      <c r="C47" s="300">
        <v>1</v>
      </c>
      <c r="D47" s="383" t="s">
        <v>257</v>
      </c>
      <c r="E47" s="522"/>
      <c r="F47" s="511" t="str">
        <f t="shared" si="2"/>
        <v xml:space="preserve"> </v>
      </c>
    </row>
    <row r="48" spans="1:6" ht="26.25">
      <c r="A48" s="400" t="s">
        <v>216</v>
      </c>
      <c r="B48" s="401" t="s">
        <v>462</v>
      </c>
      <c r="C48" s="342">
        <v>3</v>
      </c>
      <c r="D48" s="403" t="s">
        <v>6</v>
      </c>
      <c r="E48" s="522"/>
      <c r="F48" s="511" t="str">
        <f t="shared" si="2"/>
        <v xml:space="preserve"> </v>
      </c>
    </row>
    <row r="49" spans="1:6" ht="15">
      <c r="A49" s="320" t="s">
        <v>216</v>
      </c>
      <c r="B49" s="316" t="s">
        <v>463</v>
      </c>
      <c r="C49" s="313">
        <v>1</v>
      </c>
      <c r="D49" s="318" t="s">
        <v>178</v>
      </c>
      <c r="E49" s="522"/>
      <c r="F49" s="511" t="str">
        <f>IF(AND(ISNUMBER(C49),ISNUMBER(E49)),C49*E49," ")</f>
        <v xml:space="preserve"> </v>
      </c>
    </row>
    <row r="50" spans="1:6" ht="15">
      <c r="A50" s="320" t="s">
        <v>216</v>
      </c>
      <c r="B50" s="316" t="s">
        <v>464</v>
      </c>
      <c r="C50" s="313">
        <v>6</v>
      </c>
      <c r="D50" s="318" t="s">
        <v>178</v>
      </c>
      <c r="E50" s="522"/>
      <c r="F50" s="511" t="str">
        <f>IF(AND(ISNUMBER(C50),ISNUMBER(E50)),C50*E50," ")</f>
        <v xml:space="preserve"> </v>
      </c>
    </row>
    <row r="51" spans="1:6" ht="15">
      <c r="A51" s="320" t="s">
        <v>216</v>
      </c>
      <c r="B51" s="316" t="s">
        <v>465</v>
      </c>
      <c r="C51" s="313">
        <v>1</v>
      </c>
      <c r="D51" s="318" t="s">
        <v>178</v>
      </c>
      <c r="E51" s="522"/>
      <c r="F51" s="511" t="str">
        <f>IF(AND(ISNUMBER(C51),ISNUMBER(E51)),C51*E51," ")</f>
        <v xml:space="preserve"> </v>
      </c>
    </row>
    <row r="52" spans="1:6" ht="15">
      <c r="A52" s="381" t="s">
        <v>216</v>
      </c>
      <c r="B52" s="296" t="s">
        <v>466</v>
      </c>
      <c r="C52" s="295">
        <v>1</v>
      </c>
      <c r="D52" s="383" t="s">
        <v>6</v>
      </c>
      <c r="E52" s="522"/>
      <c r="F52" s="511" t="str">
        <f>IF(AND(ISNUMBER(C52),ISNUMBER(E52)),C52*E52," ")</f>
        <v xml:space="preserve"> </v>
      </c>
    </row>
    <row r="53" spans="1:6" ht="15">
      <c r="A53" s="381" t="s">
        <v>216</v>
      </c>
      <c r="B53" s="295" t="s">
        <v>467</v>
      </c>
      <c r="C53" s="295">
        <v>4</v>
      </c>
      <c r="D53" s="383" t="s">
        <v>6</v>
      </c>
      <c r="E53" s="522"/>
      <c r="F53" s="511" t="str">
        <f t="shared" si="2"/>
        <v xml:space="preserve"> </v>
      </c>
    </row>
    <row r="54" spans="1:6" ht="15">
      <c r="A54" s="381" t="s">
        <v>216</v>
      </c>
      <c r="B54" s="295" t="s">
        <v>468</v>
      </c>
      <c r="C54" s="295">
        <v>1</v>
      </c>
      <c r="D54" s="383" t="s">
        <v>6</v>
      </c>
      <c r="E54" s="522"/>
      <c r="F54" s="511" t="str">
        <f t="shared" si="2"/>
        <v xml:space="preserve"> </v>
      </c>
    </row>
    <row r="55" spans="1:6" ht="15">
      <c r="A55" s="381" t="s">
        <v>216</v>
      </c>
      <c r="B55" s="295" t="s">
        <v>469</v>
      </c>
      <c r="C55" s="295">
        <v>1</v>
      </c>
      <c r="D55" s="383" t="s">
        <v>6</v>
      </c>
      <c r="E55" s="522"/>
      <c r="F55" s="511" t="str">
        <f t="shared" si="2"/>
        <v xml:space="preserve"> </v>
      </c>
    </row>
    <row r="56" spans="1:6" ht="15">
      <c r="A56" s="381" t="s">
        <v>216</v>
      </c>
      <c r="B56" s="295" t="s">
        <v>470</v>
      </c>
      <c r="C56" s="295">
        <v>10</v>
      </c>
      <c r="D56" s="383" t="s">
        <v>6</v>
      </c>
      <c r="E56" s="522"/>
      <c r="F56" s="511" t="str">
        <f t="shared" si="2"/>
        <v xml:space="preserve"> </v>
      </c>
    </row>
    <row r="57" spans="1:6" s="385" customFormat="1" ht="15">
      <c r="A57" s="455" t="s">
        <v>216</v>
      </c>
      <c r="B57" s="385" t="s">
        <v>471</v>
      </c>
      <c r="C57" s="408">
        <v>1</v>
      </c>
      <c r="D57" s="407" t="s">
        <v>257</v>
      </c>
      <c r="E57" s="522"/>
      <c r="F57" s="511" t="str">
        <f t="shared" si="2"/>
        <v xml:space="preserve"> </v>
      </c>
    </row>
    <row r="58" spans="1:6" s="385" customFormat="1">
      <c r="A58" s="455"/>
      <c r="C58" s="408"/>
      <c r="D58" s="407"/>
      <c r="E58" s="512"/>
      <c r="F58" s="512"/>
    </row>
    <row r="59" spans="1:6" s="394" customFormat="1">
      <c r="A59" s="392"/>
      <c r="B59" s="405" t="s">
        <v>430</v>
      </c>
      <c r="C59" s="405"/>
      <c r="D59" s="392"/>
      <c r="E59" s="524"/>
      <c r="F59" s="514">
        <f>SUM(F44:F58)</f>
        <v>0</v>
      </c>
    </row>
    <row r="60" spans="1:6" s="394" customFormat="1">
      <c r="A60" s="392"/>
      <c r="B60" s="405"/>
      <c r="C60" s="405"/>
      <c r="D60" s="392"/>
      <c r="E60" s="513"/>
      <c r="F60" s="514"/>
    </row>
    <row r="61" spans="1:6" s="394" customFormat="1">
      <c r="A61" s="392"/>
      <c r="D61" s="391"/>
      <c r="E61" s="512"/>
      <c r="F61" s="515"/>
    </row>
    <row r="62" spans="1:6" s="394" customFormat="1">
      <c r="A62" s="392"/>
      <c r="D62" s="391"/>
      <c r="E62" s="512"/>
      <c r="F62" s="512"/>
    </row>
    <row r="63" spans="1:6" ht="15.75">
      <c r="B63" s="409" t="s">
        <v>13</v>
      </c>
      <c r="E63" s="513"/>
      <c r="F63" s="513"/>
    </row>
    <row r="64" spans="1:6" ht="15.75">
      <c r="B64" s="409"/>
      <c r="E64" s="513"/>
      <c r="F64" s="513"/>
    </row>
    <row r="65" spans="1:6">
      <c r="A65" s="404" t="s">
        <v>213</v>
      </c>
      <c r="B65" s="456" t="s">
        <v>214</v>
      </c>
      <c r="C65" s="394">
        <v>1</v>
      </c>
      <c r="D65" s="391" t="s">
        <v>257</v>
      </c>
      <c r="E65" s="525"/>
      <c r="F65" s="514">
        <f>F16</f>
        <v>0</v>
      </c>
    </row>
    <row r="66" spans="1:6">
      <c r="A66" s="404" t="s">
        <v>271</v>
      </c>
      <c r="B66" s="456" t="s">
        <v>272</v>
      </c>
      <c r="C66" s="394">
        <v>1</v>
      </c>
      <c r="D66" s="391" t="s">
        <v>257</v>
      </c>
      <c r="E66" s="525"/>
      <c r="F66" s="514">
        <f>F25</f>
        <v>0</v>
      </c>
    </row>
    <row r="67" spans="1:6">
      <c r="A67" s="404" t="s">
        <v>279</v>
      </c>
      <c r="B67" s="456" t="s">
        <v>314</v>
      </c>
      <c r="C67" s="394">
        <v>1</v>
      </c>
      <c r="D67" s="391" t="s">
        <v>257</v>
      </c>
      <c r="E67" s="525"/>
      <c r="F67" s="514">
        <f>F38</f>
        <v>0</v>
      </c>
    </row>
    <row r="68" spans="1:6">
      <c r="A68" s="404" t="s">
        <v>305</v>
      </c>
      <c r="B68" s="456" t="s">
        <v>429</v>
      </c>
      <c r="C68" s="394">
        <v>1</v>
      </c>
      <c r="D68" s="391" t="s">
        <v>257</v>
      </c>
      <c r="E68" s="525"/>
      <c r="F68" s="514">
        <f>F59</f>
        <v>0</v>
      </c>
    </row>
    <row r="69" spans="1:6" ht="15">
      <c r="A69" s="404" t="s">
        <v>313</v>
      </c>
      <c r="B69" s="456" t="s">
        <v>321</v>
      </c>
      <c r="C69" s="394">
        <v>1</v>
      </c>
      <c r="D69" s="391" t="s">
        <v>257</v>
      </c>
      <c r="E69" s="522"/>
      <c r="F69" s="516" t="str">
        <f>IF(AND(ISNUMBER(C69),ISNUMBER(E69)),C69*E69," ")</f>
        <v xml:space="preserve"> </v>
      </c>
    </row>
    <row r="70" spans="1:6" ht="15">
      <c r="A70" s="404" t="s">
        <v>320</v>
      </c>
      <c r="B70" s="456" t="s">
        <v>431</v>
      </c>
      <c r="C70" s="394">
        <v>1</v>
      </c>
      <c r="D70" s="391" t="s">
        <v>257</v>
      </c>
      <c r="E70" s="522"/>
      <c r="F70" s="516" t="str">
        <f>IF(AND(ISNUMBER(C70),ISNUMBER(E70)),C70*E70," ")</f>
        <v xml:space="preserve"> </v>
      </c>
    </row>
    <row r="71" spans="1:6" ht="38.25">
      <c r="A71" s="404" t="s">
        <v>322</v>
      </c>
      <c r="B71" s="456" t="s">
        <v>325</v>
      </c>
      <c r="C71" s="394">
        <v>1</v>
      </c>
      <c r="D71" s="391" t="s">
        <v>257</v>
      </c>
      <c r="E71" s="522"/>
      <c r="F71" s="516" t="str">
        <f>IF(AND(ISNUMBER(C71),ISNUMBER(E71)),C71*E71," ")</f>
        <v xml:space="preserve"> </v>
      </c>
    </row>
    <row r="72" spans="1:6" ht="25.5">
      <c r="A72" s="404" t="s">
        <v>324</v>
      </c>
      <c r="B72" s="456" t="s">
        <v>432</v>
      </c>
      <c r="C72" s="394">
        <v>1</v>
      </c>
      <c r="D72" s="391" t="s">
        <v>257</v>
      </c>
      <c r="E72" s="522"/>
      <c r="F72" s="516" t="str">
        <f t="shared" ref="F72:F77" si="3">IF(AND(ISNUMBER(C72),ISNUMBER(E72)),C72*E72," ")</f>
        <v xml:space="preserve"> </v>
      </c>
    </row>
    <row r="73" spans="1:6" ht="38.25">
      <c r="A73" s="404" t="s">
        <v>326</v>
      </c>
      <c r="B73" s="456" t="s">
        <v>433</v>
      </c>
      <c r="C73" s="394">
        <v>1</v>
      </c>
      <c r="D73" s="391" t="s">
        <v>257</v>
      </c>
      <c r="E73" s="522"/>
      <c r="F73" s="516" t="str">
        <f t="shared" si="3"/>
        <v xml:space="preserve"> </v>
      </c>
    </row>
    <row r="74" spans="1:6" ht="51">
      <c r="A74" s="404" t="s">
        <v>328</v>
      </c>
      <c r="B74" s="456" t="s">
        <v>434</v>
      </c>
      <c r="C74" s="394">
        <v>1</v>
      </c>
      <c r="D74" s="391" t="s">
        <v>257</v>
      </c>
      <c r="E74" s="522"/>
      <c r="F74" s="516" t="str">
        <f t="shared" si="3"/>
        <v xml:space="preserve"> </v>
      </c>
    </row>
    <row r="75" spans="1:6" ht="89.25">
      <c r="A75" s="404" t="s">
        <v>330</v>
      </c>
      <c r="B75" s="410" t="s">
        <v>435</v>
      </c>
      <c r="C75" s="411">
        <v>1</v>
      </c>
      <c r="D75" s="411" t="s">
        <v>257</v>
      </c>
      <c r="E75" s="522"/>
      <c r="F75" s="516" t="str">
        <f t="shared" si="3"/>
        <v xml:space="preserve"> </v>
      </c>
    </row>
    <row r="76" spans="1:6" ht="15">
      <c r="A76" s="404" t="s">
        <v>472</v>
      </c>
      <c r="B76" s="456" t="s">
        <v>436</v>
      </c>
      <c r="C76" s="411">
        <v>1</v>
      </c>
      <c r="D76" s="411" t="s">
        <v>257</v>
      </c>
      <c r="E76" s="522"/>
      <c r="F76" s="516" t="str">
        <f t="shared" si="3"/>
        <v xml:space="preserve"> </v>
      </c>
    </row>
    <row r="77" spans="1:6" ht="15">
      <c r="A77" s="404" t="s">
        <v>473</v>
      </c>
      <c r="B77" s="456" t="s">
        <v>437</v>
      </c>
      <c r="C77" s="411">
        <v>1</v>
      </c>
      <c r="D77" s="411" t="s">
        <v>257</v>
      </c>
      <c r="E77" s="522"/>
      <c r="F77" s="516" t="str">
        <f t="shared" si="3"/>
        <v xml:space="preserve"> </v>
      </c>
    </row>
    <row r="78" spans="1:6">
      <c r="A78" s="412"/>
      <c r="B78" s="413"/>
      <c r="C78" s="413"/>
      <c r="D78" s="457"/>
      <c r="E78" s="517"/>
      <c r="F78" s="517"/>
    </row>
    <row r="79" spans="1:6" s="415" customFormat="1">
      <c r="A79" s="466"/>
      <c r="B79" s="464" t="s">
        <v>474</v>
      </c>
      <c r="C79" s="464"/>
      <c r="D79" s="465"/>
      <c r="E79" s="526" t="s">
        <v>332</v>
      </c>
      <c r="F79" s="518">
        <f>SUM(F65:F78)</f>
        <v>0</v>
      </c>
    </row>
    <row r="80" spans="1:6" s="415" customFormat="1">
      <c r="A80" s="414"/>
      <c r="D80" s="416"/>
      <c r="E80" s="417"/>
      <c r="F80" s="417"/>
    </row>
    <row r="81" spans="1:6" s="459" customFormat="1" ht="15">
      <c r="A81" s="458"/>
      <c r="D81" s="460"/>
      <c r="E81" s="461"/>
      <c r="F81" s="462"/>
    </row>
    <row r="82" spans="1:6">
      <c r="B82" s="388"/>
      <c r="D82" s="295"/>
    </row>
    <row r="83" spans="1:6" s="323" customFormat="1" ht="14.25">
      <c r="A83" s="418"/>
      <c r="B83" s="419"/>
      <c r="C83" s="420"/>
      <c r="D83" s="421"/>
      <c r="E83" s="422"/>
      <c r="F83" s="422"/>
    </row>
  </sheetData>
  <sheetProtection algorithmName="SHA-512" hashValue="aYcS5yBfom/Vz/KDEWQdqvX3UU/mWYC07V8/KXjUDf0wNfyoVdoJQDPBi4q0jejaec5svXeBNXjOTN5gy8XfcQ==" saltValue="SRTGwo/R0rtPcefVgDi3cQ==" spinCount="100000" sheet="1" objects="1" scenarios="1"/>
  <conditionalFormatting sqref="E6:E8">
    <cfRule type="cellIs" dxfId="0" priority="1" stopIfTrue="1" operator="equal">
      <formula>F6</formula>
    </cfRule>
  </conditionalFormatting>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view="pageBreakPreview" zoomScaleNormal="100" zoomScaleSheetLayoutView="100" workbookViewId="0">
      <selection activeCell="E3" sqref="E3:E6"/>
    </sheetView>
  </sheetViews>
  <sheetFormatPr defaultRowHeight="14.25"/>
  <cols>
    <col min="1" max="1" width="4.85546875" style="115" bestFit="1" customWidth="1"/>
    <col min="2" max="2" width="45.42578125" style="80" customWidth="1"/>
    <col min="3" max="3" width="6.5703125" style="81" bestFit="1" customWidth="1"/>
    <col min="4" max="4" width="8.5703125" style="82" customWidth="1"/>
    <col min="5" max="5" width="10.7109375" style="102" customWidth="1"/>
    <col min="6" max="6" width="12.28515625" style="102" customWidth="1"/>
    <col min="7" max="7" width="9.140625" style="27"/>
    <col min="8" max="16384" width="9.140625" style="24"/>
  </cols>
  <sheetData>
    <row r="1" spans="1:6" ht="26.25" thickBot="1">
      <c r="A1" s="105" t="s">
        <v>0</v>
      </c>
      <c r="B1" s="25" t="s">
        <v>1</v>
      </c>
      <c r="C1" s="25" t="s">
        <v>2</v>
      </c>
      <c r="D1" s="26" t="s">
        <v>3</v>
      </c>
      <c r="E1" s="193" t="s">
        <v>4</v>
      </c>
      <c r="F1" s="83" t="s">
        <v>5</v>
      </c>
    </row>
    <row r="2" spans="1:6" ht="28.5" customHeight="1" thickBot="1">
      <c r="A2" s="110"/>
      <c r="B2" s="200" t="s">
        <v>187</v>
      </c>
      <c r="C2" s="201"/>
      <c r="D2" s="202"/>
      <c r="E2" s="203"/>
      <c r="F2" s="204"/>
    </row>
    <row r="3" spans="1:6" ht="32.25" customHeight="1">
      <c r="A3" s="108">
        <v>1</v>
      </c>
      <c r="B3" s="35" t="s">
        <v>41</v>
      </c>
      <c r="C3" s="36" t="s">
        <v>16</v>
      </c>
      <c r="D3" s="37">
        <v>20</v>
      </c>
      <c r="E3" s="519"/>
      <c r="F3" s="38">
        <f t="shared" ref="F3:F6" si="0">D3*E3</f>
        <v>0</v>
      </c>
    </row>
    <row r="4" spans="1:6" ht="36" customHeight="1">
      <c r="A4" s="112">
        <v>2</v>
      </c>
      <c r="B4" s="35" t="s">
        <v>91</v>
      </c>
      <c r="C4" s="36" t="s">
        <v>32</v>
      </c>
      <c r="D4" s="37">
        <v>30</v>
      </c>
      <c r="E4" s="520"/>
      <c r="F4" s="38">
        <f t="shared" si="0"/>
        <v>0</v>
      </c>
    </row>
    <row r="5" spans="1:6" ht="111.75" customHeight="1">
      <c r="A5" s="108" t="s">
        <v>56</v>
      </c>
      <c r="B5" s="142" t="s">
        <v>51</v>
      </c>
      <c r="C5" s="36" t="s">
        <v>9</v>
      </c>
      <c r="D5" s="250">
        <f>170+145+85+195+110+140+160</f>
        <v>1005</v>
      </c>
      <c r="E5" s="521"/>
      <c r="F5" s="38">
        <f t="shared" si="0"/>
        <v>0</v>
      </c>
    </row>
    <row r="6" spans="1:6" ht="48" customHeight="1" thickBot="1">
      <c r="A6" s="112" t="s">
        <v>57</v>
      </c>
      <c r="B6" s="39" t="s">
        <v>505</v>
      </c>
      <c r="C6" s="36" t="s">
        <v>7</v>
      </c>
      <c r="D6" s="37">
        <v>1</v>
      </c>
      <c r="E6" s="521"/>
      <c r="F6" s="38">
        <f t="shared" si="0"/>
        <v>0</v>
      </c>
    </row>
    <row r="7" spans="1:6" ht="30" customHeight="1" thickBot="1">
      <c r="A7" s="205" t="s">
        <v>188</v>
      </c>
      <c r="B7" s="206" t="s">
        <v>10</v>
      </c>
      <c r="C7" s="207"/>
      <c r="D7" s="208"/>
      <c r="E7" s="209"/>
      <c r="F7" s="210">
        <f>SUM(F3:F6)</f>
        <v>0</v>
      </c>
    </row>
  </sheetData>
  <sheetProtection algorithmName="SHA-512" hashValue="O7o2IgHd/S00mzy03bXhCt8dajrreFO8F4N8BFH7rtP6EY9KDOGkIgEJAJvWT1XGVaahMldeFmd/bprt5R2F3w==" saltValue="trOVbQmfW9bs0hIeyhn4w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ignoredErrors>
    <ignoredError sqref="A5: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view="pageBreakPreview" zoomScaleNormal="100" zoomScaleSheetLayoutView="100" workbookViewId="0">
      <selection activeCell="B3" sqref="B3"/>
    </sheetView>
  </sheetViews>
  <sheetFormatPr defaultRowHeight="14.25"/>
  <cols>
    <col min="1" max="1" width="4.85546875" style="115" bestFit="1" customWidth="1"/>
    <col min="2" max="2" width="45.42578125" style="80" customWidth="1"/>
    <col min="3" max="3" width="6.5703125" style="81" bestFit="1" customWidth="1"/>
    <col min="4" max="4" width="8.42578125" style="82" customWidth="1"/>
    <col min="5" max="5" width="10.7109375" style="102" customWidth="1"/>
    <col min="6" max="6" width="12.42578125" style="102" customWidth="1"/>
    <col min="7" max="7" width="9.140625" style="27"/>
    <col min="8" max="16384" width="9.140625" style="24"/>
  </cols>
  <sheetData>
    <row r="1" spans="1:6" ht="26.25" thickBot="1">
      <c r="A1" s="105" t="s">
        <v>0</v>
      </c>
      <c r="B1" s="25" t="s">
        <v>1</v>
      </c>
      <c r="C1" s="25" t="s">
        <v>2</v>
      </c>
      <c r="D1" s="26" t="s">
        <v>3</v>
      </c>
      <c r="E1" s="193" t="s">
        <v>4</v>
      </c>
      <c r="F1" s="83" t="s">
        <v>5</v>
      </c>
    </row>
    <row r="2" spans="1:6" ht="22.5" customHeight="1" thickBot="1">
      <c r="A2" s="106"/>
      <c r="B2" s="194" t="s">
        <v>106</v>
      </c>
      <c r="C2" s="195"/>
      <c r="D2" s="196"/>
      <c r="E2" s="197"/>
      <c r="F2" s="198"/>
    </row>
    <row r="3" spans="1:6" ht="140.25">
      <c r="A3" s="107">
        <v>1</v>
      </c>
      <c r="B3" s="31" t="s">
        <v>499</v>
      </c>
      <c r="C3" s="32" t="s">
        <v>7</v>
      </c>
      <c r="D3" s="33">
        <v>1</v>
      </c>
      <c r="E3" s="554"/>
      <c r="F3" s="34">
        <f>D3*E3</f>
        <v>0</v>
      </c>
    </row>
    <row r="4" spans="1:6" ht="114.75">
      <c r="A4" s="108">
        <v>2</v>
      </c>
      <c r="B4" s="35" t="s">
        <v>500</v>
      </c>
      <c r="C4" s="36" t="s">
        <v>7</v>
      </c>
      <c r="D4" s="37">
        <v>1</v>
      </c>
      <c r="E4" s="521"/>
      <c r="F4" s="38">
        <f t="shared" ref="F4:F6" si="0">D4*E4</f>
        <v>0</v>
      </c>
    </row>
    <row r="5" spans="1:6" ht="76.5">
      <c r="A5" s="107">
        <v>3</v>
      </c>
      <c r="B5" s="35" t="s">
        <v>501</v>
      </c>
      <c r="C5" s="36" t="s">
        <v>7</v>
      </c>
      <c r="D5" s="37">
        <v>1</v>
      </c>
      <c r="E5" s="521"/>
      <c r="F5" s="38">
        <f t="shared" si="0"/>
        <v>0</v>
      </c>
    </row>
    <row r="6" spans="1:6" ht="40.5" customHeight="1" thickBot="1">
      <c r="A6" s="108">
        <v>4</v>
      </c>
      <c r="B6" s="35" t="s">
        <v>82</v>
      </c>
      <c r="C6" s="36" t="s">
        <v>6</v>
      </c>
      <c r="D6" s="37">
        <v>5</v>
      </c>
      <c r="E6" s="545"/>
      <c r="F6" s="177">
        <f t="shared" si="0"/>
        <v>0</v>
      </c>
    </row>
    <row r="7" spans="1:6" ht="24.75" customHeight="1" thickBot="1">
      <c r="A7" s="199" t="s">
        <v>34</v>
      </c>
      <c r="B7" s="194" t="s">
        <v>107</v>
      </c>
      <c r="C7" s="195"/>
      <c r="D7" s="196"/>
      <c r="E7" s="197"/>
      <c r="F7" s="198">
        <f>SUM(F3:F6)</f>
        <v>0</v>
      </c>
    </row>
  </sheetData>
  <sheetProtection algorithmName="SHA-512" hashValue="TL5MFVdMtcDr5pZzb23Mf3HVZCl05iMDGmmWL+X4soMtvYHT2HvJMFYN4EddJW6vQeNZyD5Jb+iL6ul4uKLmFg==" saltValue="ETZ1lwBtiRHYvLy1tvCaw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78"/>
  <sheetViews>
    <sheetView view="pageBreakPreview" topLeftCell="A25" zoomScaleNormal="100" zoomScaleSheetLayoutView="100" workbookViewId="0">
      <selection activeCell="E27" sqref="E27"/>
    </sheetView>
  </sheetViews>
  <sheetFormatPr defaultRowHeight="14.25"/>
  <cols>
    <col min="1" max="1" width="4.85546875" style="115" bestFit="1" customWidth="1"/>
    <col min="2" max="2" width="45.42578125" style="80" customWidth="1"/>
    <col min="3" max="3" width="6.5703125" style="81" bestFit="1" customWidth="1"/>
    <col min="4" max="4" width="8.85546875" style="82" customWidth="1"/>
    <col min="5" max="5" width="10.7109375" style="102" customWidth="1"/>
    <col min="6" max="6" width="12.42578125" style="102" customWidth="1"/>
    <col min="7" max="7" width="9.140625" style="27"/>
    <col min="8" max="16384" width="9.140625" style="24"/>
  </cols>
  <sheetData>
    <row r="1" spans="1:6" s="225" customFormat="1" ht="18">
      <c r="A1" s="243" t="s">
        <v>135</v>
      </c>
      <c r="B1" s="221" t="s">
        <v>143</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19">
        <v>1</v>
      </c>
      <c r="B5" s="35" t="s">
        <v>46</v>
      </c>
      <c r="C5" s="36" t="s">
        <v>9</v>
      </c>
      <c r="D5" s="37">
        <v>170</v>
      </c>
      <c r="E5" s="521"/>
      <c r="F5" s="38">
        <f t="shared" ref="F5:F11" si="0">D5*E5</f>
        <v>0</v>
      </c>
    </row>
    <row r="6" spans="1:6" ht="25.5">
      <c r="A6" s="108" t="s">
        <v>55</v>
      </c>
      <c r="B6" s="39" t="s">
        <v>28</v>
      </c>
      <c r="C6" s="36" t="s">
        <v>6</v>
      </c>
      <c r="D6" s="37">
        <f>1+6+4</f>
        <v>11</v>
      </c>
      <c r="E6" s="521"/>
      <c r="F6" s="38">
        <f t="shared" si="0"/>
        <v>0</v>
      </c>
    </row>
    <row r="7" spans="1:6" ht="38.25">
      <c r="A7" s="107" t="s">
        <v>56</v>
      </c>
      <c r="B7" s="35" t="s">
        <v>83</v>
      </c>
      <c r="C7" s="40" t="s">
        <v>47</v>
      </c>
      <c r="D7" s="37">
        <v>5</v>
      </c>
      <c r="E7" s="521"/>
      <c r="F7" s="38">
        <f t="shared" si="0"/>
        <v>0</v>
      </c>
    </row>
    <row r="8" spans="1:6" ht="38.25">
      <c r="A8" s="108" t="s">
        <v>57</v>
      </c>
      <c r="B8" s="41" t="s">
        <v>121</v>
      </c>
      <c r="C8" s="36" t="s">
        <v>9</v>
      </c>
      <c r="D8" s="37">
        <f>3+3+2+10+6</f>
        <v>24</v>
      </c>
      <c r="E8" s="521"/>
      <c r="F8" s="38">
        <f t="shared" si="0"/>
        <v>0</v>
      </c>
    </row>
    <row r="9" spans="1:6" ht="38.25">
      <c r="A9" s="108" t="s">
        <v>58</v>
      </c>
      <c r="B9" s="41" t="s">
        <v>122</v>
      </c>
      <c r="C9" s="36" t="s">
        <v>9</v>
      </c>
      <c r="D9" s="37">
        <f>(141+(2*8)+(2*4))*1.03</f>
        <v>169.95000000000002</v>
      </c>
      <c r="E9" s="521"/>
      <c r="F9" s="38">
        <f t="shared" si="0"/>
        <v>0</v>
      </c>
    </row>
    <row r="10" spans="1:6" ht="38.25">
      <c r="A10" s="107" t="s">
        <v>59</v>
      </c>
      <c r="B10" s="218" t="s">
        <v>53</v>
      </c>
      <c r="C10" s="42" t="s">
        <v>48</v>
      </c>
      <c r="D10" s="37">
        <v>52</v>
      </c>
      <c r="E10" s="521"/>
      <c r="F10" s="38">
        <f t="shared" si="0"/>
        <v>0</v>
      </c>
    </row>
    <row r="11" spans="1:6" ht="39" thickBot="1">
      <c r="A11" s="107" t="s">
        <v>60</v>
      </c>
      <c r="B11" s="218" t="s">
        <v>123</v>
      </c>
      <c r="C11" s="42" t="s">
        <v>48</v>
      </c>
      <c r="D11" s="37">
        <v>475</v>
      </c>
      <c r="E11" s="521"/>
      <c r="F11" s="38">
        <f t="shared" si="0"/>
        <v>0</v>
      </c>
    </row>
    <row r="12" spans="1:6" ht="15" thickBot="1">
      <c r="A12" s="140" t="s">
        <v>34</v>
      </c>
      <c r="B12" s="47" t="s">
        <v>12</v>
      </c>
      <c r="C12" s="48"/>
      <c r="D12" s="49"/>
      <c r="E12" s="87"/>
      <c r="F12" s="141">
        <f>SUM(F5:F11)</f>
        <v>0</v>
      </c>
    </row>
    <row r="13" spans="1:6" ht="15" thickBot="1">
      <c r="A13" s="109"/>
      <c r="B13" s="50"/>
      <c r="C13" s="51"/>
      <c r="D13" s="52"/>
      <c r="E13" s="88"/>
      <c r="F13" s="89"/>
    </row>
    <row r="14" spans="1:6" ht="15" thickBot="1">
      <c r="A14" s="110"/>
      <c r="B14" s="53" t="s">
        <v>35</v>
      </c>
      <c r="C14" s="54"/>
      <c r="D14" s="55"/>
      <c r="E14" s="90"/>
      <c r="F14" s="91"/>
    </row>
    <row r="15" spans="1:6" ht="51">
      <c r="A15" s="111"/>
      <c r="B15" s="56" t="s">
        <v>52</v>
      </c>
      <c r="C15" s="57"/>
      <c r="D15" s="58"/>
      <c r="E15" s="92"/>
      <c r="F15" s="93"/>
    </row>
    <row r="16" spans="1:6" ht="38.25">
      <c r="A16" s="107"/>
      <c r="B16" s="59" t="s">
        <v>25</v>
      </c>
      <c r="C16" s="36"/>
      <c r="D16" s="37"/>
      <c r="E16" s="44"/>
      <c r="F16" s="38"/>
    </row>
    <row r="17" spans="1:6" ht="25.5">
      <c r="A17" s="108" t="s">
        <v>54</v>
      </c>
      <c r="B17" s="169" t="s">
        <v>101</v>
      </c>
      <c r="C17" s="40" t="s">
        <v>47</v>
      </c>
      <c r="D17" s="37">
        <f>(52*0.3)+(464*0.3)+((80*0.75)*0.3)</f>
        <v>172.79999999999998</v>
      </c>
      <c r="E17" s="521"/>
      <c r="F17" s="38">
        <f>D17*E17</f>
        <v>0</v>
      </c>
    </row>
    <row r="18" spans="1:6">
      <c r="A18" s="108" t="s">
        <v>55</v>
      </c>
      <c r="B18" s="35" t="s">
        <v>43</v>
      </c>
      <c r="C18" s="40" t="s">
        <v>47</v>
      </c>
      <c r="D18" s="37">
        <v>10</v>
      </c>
      <c r="E18" s="521"/>
      <c r="F18" s="38">
        <f>D18*E18</f>
        <v>0</v>
      </c>
    </row>
    <row r="19" spans="1:6" ht="38.25">
      <c r="A19" s="152" t="s">
        <v>56</v>
      </c>
      <c r="B19" s="178" t="s">
        <v>78</v>
      </c>
      <c r="C19" s="179"/>
      <c r="D19" s="180"/>
      <c r="E19" s="181"/>
      <c r="F19" s="182"/>
    </row>
    <row r="20" spans="1:6">
      <c r="A20" s="187"/>
      <c r="B20" s="188" t="s">
        <v>77</v>
      </c>
      <c r="C20" s="189" t="s">
        <v>47</v>
      </c>
      <c r="D20" s="190">
        <f>400.72*0.9</f>
        <v>360.64800000000002</v>
      </c>
      <c r="E20" s="535"/>
      <c r="F20" s="191">
        <f>D20*E20</f>
        <v>0</v>
      </c>
    </row>
    <row r="21" spans="1:6">
      <c r="A21" s="107"/>
      <c r="B21" s="183" t="s">
        <v>76</v>
      </c>
      <c r="C21" s="184" t="s">
        <v>47</v>
      </c>
      <c r="D21" s="185">
        <v>56.3</v>
      </c>
      <c r="E21" s="541"/>
      <c r="F21" s="186">
        <f>D21*E21</f>
        <v>0</v>
      </c>
    </row>
    <row r="22" spans="1:6" ht="38.25">
      <c r="A22" s="152" t="s">
        <v>57</v>
      </c>
      <c r="B22" s="178" t="s">
        <v>108</v>
      </c>
      <c r="C22" s="179"/>
      <c r="D22" s="180"/>
      <c r="E22" s="181"/>
      <c r="F22" s="182"/>
    </row>
    <row r="23" spans="1:6">
      <c r="A23" s="187"/>
      <c r="B23" s="188" t="s">
        <v>77</v>
      </c>
      <c r="C23" s="189" t="s">
        <v>47</v>
      </c>
      <c r="D23" s="190">
        <f>(55*0.25)+(524*0.47)</f>
        <v>260.02999999999997</v>
      </c>
      <c r="E23" s="535"/>
      <c r="F23" s="191">
        <f>D23*E23</f>
        <v>0</v>
      </c>
    </row>
    <row r="24" spans="1:6" ht="38.25">
      <c r="A24" s="113" t="s">
        <v>58</v>
      </c>
      <c r="B24" s="178" t="s">
        <v>79</v>
      </c>
      <c r="C24" s="40" t="s">
        <v>47</v>
      </c>
      <c r="D24" s="190">
        <f>400.72*0.1</f>
        <v>40.072000000000003</v>
      </c>
      <c r="E24" s="542"/>
      <c r="F24" s="60">
        <f>D24*E24</f>
        <v>0</v>
      </c>
    </row>
    <row r="25" spans="1:6" ht="38.25">
      <c r="A25" s="113" t="s">
        <v>59</v>
      </c>
      <c r="B25" s="35" t="s">
        <v>29</v>
      </c>
      <c r="C25" s="40" t="s">
        <v>48</v>
      </c>
      <c r="D25" s="37">
        <f>1.5*170*2</f>
        <v>510</v>
      </c>
      <c r="E25" s="520"/>
      <c r="F25" s="60">
        <f t="shared" ref="F25:F39" si="1">D25*E25</f>
        <v>0</v>
      </c>
    </row>
    <row r="26" spans="1:6" ht="63.75">
      <c r="A26" s="113" t="s">
        <v>60</v>
      </c>
      <c r="B26" s="35" t="s">
        <v>73</v>
      </c>
      <c r="C26" s="40" t="s">
        <v>6</v>
      </c>
      <c r="D26" s="37">
        <v>5</v>
      </c>
      <c r="E26" s="520"/>
      <c r="F26" s="60">
        <f t="shared" si="1"/>
        <v>0</v>
      </c>
    </row>
    <row r="27" spans="1:6" ht="25.5">
      <c r="A27" s="108" t="s">
        <v>61</v>
      </c>
      <c r="B27" s="218" t="s">
        <v>44</v>
      </c>
      <c r="C27" s="42" t="s">
        <v>48</v>
      </c>
      <c r="D27" s="37">
        <f>(170-4)*0.9</f>
        <v>149.4</v>
      </c>
      <c r="E27" s="521"/>
      <c r="F27" s="60">
        <f t="shared" si="1"/>
        <v>0</v>
      </c>
    </row>
    <row r="28" spans="1:6" ht="25.5">
      <c r="A28" s="108" t="s">
        <v>62</v>
      </c>
      <c r="B28" s="218" t="s">
        <v>127</v>
      </c>
      <c r="C28" s="189" t="s">
        <v>47</v>
      </c>
      <c r="D28" s="37">
        <v>3</v>
      </c>
      <c r="E28" s="521"/>
      <c r="F28" s="60">
        <f t="shared" si="1"/>
        <v>0</v>
      </c>
    </row>
    <row r="29" spans="1:6" ht="51">
      <c r="A29" s="113" t="s">
        <v>63</v>
      </c>
      <c r="B29" s="169" t="s">
        <v>84</v>
      </c>
      <c r="C29" s="40" t="s">
        <v>47</v>
      </c>
      <c r="D29" s="37">
        <f>31.25*1.1</f>
        <v>34.375</v>
      </c>
      <c r="E29" s="521"/>
      <c r="F29" s="60">
        <f t="shared" si="1"/>
        <v>0</v>
      </c>
    </row>
    <row r="30" spans="1:6" ht="51">
      <c r="A30" s="108" t="s">
        <v>64</v>
      </c>
      <c r="B30" s="169" t="s">
        <v>85</v>
      </c>
      <c r="C30" s="40" t="s">
        <v>47</v>
      </c>
      <c r="D30" s="37">
        <f>64.12*1.1</f>
        <v>70.532000000000011</v>
      </c>
      <c r="E30" s="521"/>
      <c r="F30" s="60">
        <f t="shared" si="1"/>
        <v>0</v>
      </c>
    </row>
    <row r="31" spans="1:6" ht="76.5">
      <c r="A31" s="113" t="s">
        <v>65</v>
      </c>
      <c r="B31" s="35" t="s">
        <v>22</v>
      </c>
      <c r="C31" s="40" t="s">
        <v>47</v>
      </c>
      <c r="D31" s="37">
        <v>261.3</v>
      </c>
      <c r="E31" s="521"/>
      <c r="F31" s="60">
        <f t="shared" si="1"/>
        <v>0</v>
      </c>
    </row>
    <row r="32" spans="1:6" ht="38.25">
      <c r="A32" s="108" t="s">
        <v>66</v>
      </c>
      <c r="B32" s="173" t="s">
        <v>86</v>
      </c>
      <c r="C32" s="40" t="s">
        <v>47</v>
      </c>
      <c r="D32" s="37">
        <f>55*0.3*1.1</f>
        <v>18.150000000000002</v>
      </c>
      <c r="E32" s="521"/>
      <c r="F32" s="60">
        <f t="shared" si="1"/>
        <v>0</v>
      </c>
    </row>
    <row r="33" spans="1:7" ht="38.25">
      <c r="A33" s="108" t="s">
        <v>67</v>
      </c>
      <c r="B33" s="173" t="s">
        <v>124</v>
      </c>
      <c r="C33" s="40" t="s">
        <v>47</v>
      </c>
      <c r="D33" s="37">
        <f>524*0.5*1.1</f>
        <v>288.20000000000005</v>
      </c>
      <c r="E33" s="521"/>
      <c r="F33" s="60">
        <f t="shared" si="1"/>
        <v>0</v>
      </c>
    </row>
    <row r="34" spans="1:7" ht="38.25">
      <c r="A34" s="113" t="s">
        <v>68</v>
      </c>
      <c r="B34" s="173" t="s">
        <v>100</v>
      </c>
      <c r="C34" s="40" t="s">
        <v>47</v>
      </c>
      <c r="D34" s="37">
        <f>55*0.25*1.1</f>
        <v>15.125000000000002</v>
      </c>
      <c r="E34" s="521"/>
      <c r="F34" s="60">
        <f t="shared" si="1"/>
        <v>0</v>
      </c>
    </row>
    <row r="35" spans="1:7" ht="38.25">
      <c r="A35" s="113" t="s">
        <v>69</v>
      </c>
      <c r="B35" s="173" t="s">
        <v>125</v>
      </c>
      <c r="C35" s="40" t="s">
        <v>47</v>
      </c>
      <c r="D35" s="37">
        <f>524*0.26*1.1</f>
        <v>149.86400000000003</v>
      </c>
      <c r="E35" s="521"/>
      <c r="F35" s="60">
        <f t="shared" si="1"/>
        <v>0</v>
      </c>
    </row>
    <row r="36" spans="1:7" ht="25.5">
      <c r="A36" s="108" t="s">
        <v>70</v>
      </c>
      <c r="B36" s="61" t="s">
        <v>45</v>
      </c>
      <c r="C36" s="36" t="s">
        <v>9</v>
      </c>
      <c r="D36" s="37">
        <v>170</v>
      </c>
      <c r="E36" s="521"/>
      <c r="F36" s="60">
        <f t="shared" si="1"/>
        <v>0</v>
      </c>
    </row>
    <row r="37" spans="1:7" ht="38.25">
      <c r="A37" s="113" t="s">
        <v>71</v>
      </c>
      <c r="B37" s="61" t="s">
        <v>191</v>
      </c>
      <c r="C37" s="40" t="s">
        <v>47</v>
      </c>
      <c r="D37" s="37">
        <f>((D10*0.1)+(D11*0.15)+D17+D20+D18+D21+D23-D31)*1.25</f>
        <v>843.65999999999985</v>
      </c>
      <c r="E37" s="521"/>
      <c r="F37" s="60">
        <f t="shared" si="1"/>
        <v>0</v>
      </c>
    </row>
    <row r="38" spans="1:7" ht="25.5">
      <c r="A38" s="108" t="s">
        <v>80</v>
      </c>
      <c r="B38" s="35" t="s">
        <v>23</v>
      </c>
      <c r="C38" s="42" t="s">
        <v>48</v>
      </c>
      <c r="D38" s="37">
        <f>55+524</f>
        <v>579</v>
      </c>
      <c r="E38" s="521"/>
      <c r="F38" s="60">
        <f t="shared" si="1"/>
        <v>0</v>
      </c>
    </row>
    <row r="39" spans="1:7" s="235" customFormat="1" ht="15" thickBot="1">
      <c r="A39" s="108" t="s">
        <v>102</v>
      </c>
      <c r="B39" s="218" t="s">
        <v>115</v>
      </c>
      <c r="C39" s="42" t="s">
        <v>48</v>
      </c>
      <c r="D39" s="37">
        <f>D38*1.1</f>
        <v>636.90000000000009</v>
      </c>
      <c r="E39" s="521"/>
      <c r="F39" s="60">
        <f t="shared" si="1"/>
        <v>0</v>
      </c>
      <c r="G39" s="27"/>
    </row>
    <row r="40" spans="1:7" ht="15" thickBot="1">
      <c r="A40" s="149" t="s">
        <v>36</v>
      </c>
      <c r="B40" s="150" t="s">
        <v>11</v>
      </c>
      <c r="C40" s="63"/>
      <c r="D40" s="64"/>
      <c r="E40" s="94"/>
      <c r="F40" s="151">
        <f>SUM(F17:F39)</f>
        <v>0</v>
      </c>
    </row>
    <row r="41" spans="1:7" ht="15" thickBot="1">
      <c r="A41" s="109"/>
      <c r="B41" s="65"/>
      <c r="C41" s="66"/>
      <c r="D41" s="67"/>
      <c r="E41" s="95"/>
      <c r="F41" s="88"/>
    </row>
    <row r="42" spans="1:7" ht="15" thickBot="1">
      <c r="A42" s="114"/>
      <c r="B42" s="68" t="s">
        <v>37</v>
      </c>
      <c r="C42" s="69"/>
      <c r="D42" s="70"/>
      <c r="E42" s="96"/>
      <c r="F42" s="97"/>
    </row>
    <row r="43" spans="1:7" ht="63.75">
      <c r="A43" s="111"/>
      <c r="B43" s="71" t="s">
        <v>24</v>
      </c>
      <c r="C43" s="32"/>
      <c r="D43" s="33"/>
      <c r="E43" s="86"/>
      <c r="F43" s="34"/>
    </row>
    <row r="44" spans="1:7" ht="76.5">
      <c r="A44" s="112">
        <v>1</v>
      </c>
      <c r="B44" s="226" t="s">
        <v>98</v>
      </c>
      <c r="C44" s="45" t="s">
        <v>9</v>
      </c>
      <c r="D44" s="103">
        <v>175</v>
      </c>
      <c r="E44" s="536"/>
      <c r="F44" s="62">
        <f t="shared" ref="F44:F59" si="2">D44*E44</f>
        <v>0</v>
      </c>
    </row>
    <row r="45" spans="1:7">
      <c r="A45" s="167"/>
      <c r="B45" s="156" t="s">
        <v>146</v>
      </c>
      <c r="C45" s="157" t="s">
        <v>6</v>
      </c>
      <c r="D45" s="158">
        <v>1</v>
      </c>
      <c r="E45" s="543"/>
      <c r="F45" s="168">
        <f t="shared" ref="F45:F46" si="3">D45*E45</f>
        <v>0</v>
      </c>
    </row>
    <row r="46" spans="1:7" ht="76.5">
      <c r="A46" s="159" t="s">
        <v>55</v>
      </c>
      <c r="B46" s="251" t="s">
        <v>192</v>
      </c>
      <c r="C46" s="161" t="s">
        <v>110</v>
      </c>
      <c r="D46" s="162">
        <v>6</v>
      </c>
      <c r="E46" s="536"/>
      <c r="F46" s="62">
        <f t="shared" si="3"/>
        <v>0</v>
      </c>
    </row>
    <row r="47" spans="1:7" ht="191.25">
      <c r="A47" s="159" t="s">
        <v>56</v>
      </c>
      <c r="B47" s="244" t="s">
        <v>99</v>
      </c>
      <c r="C47" s="161"/>
      <c r="D47" s="162"/>
      <c r="E47" s="553"/>
      <c r="F47" s="164"/>
    </row>
    <row r="48" spans="1:7">
      <c r="A48" s="167"/>
      <c r="B48" s="156" t="s">
        <v>30</v>
      </c>
      <c r="C48" s="157" t="s">
        <v>6</v>
      </c>
      <c r="D48" s="158">
        <v>3</v>
      </c>
      <c r="E48" s="543"/>
      <c r="F48" s="168">
        <f t="shared" si="2"/>
        <v>0</v>
      </c>
    </row>
    <row r="49" spans="1:7">
      <c r="A49" s="167"/>
      <c r="B49" s="156" t="s">
        <v>31</v>
      </c>
      <c r="C49" s="157" t="s">
        <v>6</v>
      </c>
      <c r="D49" s="158">
        <v>2</v>
      </c>
      <c r="E49" s="543"/>
      <c r="F49" s="168">
        <f t="shared" si="2"/>
        <v>0</v>
      </c>
    </row>
    <row r="50" spans="1:7">
      <c r="A50" s="167"/>
      <c r="B50" s="156" t="s">
        <v>142</v>
      </c>
      <c r="C50" s="157" t="s">
        <v>6</v>
      </c>
      <c r="D50" s="158">
        <v>1</v>
      </c>
      <c r="E50" s="543"/>
      <c r="F50" s="168">
        <f t="shared" ref="F50" si="4">D50*E50</f>
        <v>0</v>
      </c>
    </row>
    <row r="51" spans="1:7" ht="63.75">
      <c r="A51" s="112" t="s">
        <v>57</v>
      </c>
      <c r="B51" s="61" t="s">
        <v>145</v>
      </c>
      <c r="C51" s="36" t="s">
        <v>6</v>
      </c>
      <c r="D51" s="37">
        <v>1</v>
      </c>
      <c r="E51" s="521"/>
      <c r="F51" s="62">
        <f t="shared" si="2"/>
        <v>0</v>
      </c>
    </row>
    <row r="52" spans="1:7" ht="102">
      <c r="A52" s="112" t="s">
        <v>58</v>
      </c>
      <c r="B52" s="218" t="s">
        <v>88</v>
      </c>
      <c r="C52" s="36" t="s">
        <v>6</v>
      </c>
      <c r="D52" s="37">
        <v>4</v>
      </c>
      <c r="E52" s="520"/>
      <c r="F52" s="62">
        <f t="shared" si="2"/>
        <v>0</v>
      </c>
    </row>
    <row r="53" spans="1:7" ht="51">
      <c r="A53" s="112" t="s">
        <v>59</v>
      </c>
      <c r="B53" s="35" t="s">
        <v>89</v>
      </c>
      <c r="C53" s="36" t="s">
        <v>6</v>
      </c>
      <c r="D53" s="37">
        <v>4</v>
      </c>
      <c r="E53" s="520"/>
      <c r="F53" s="62">
        <f t="shared" si="2"/>
        <v>0</v>
      </c>
    </row>
    <row r="54" spans="1:7" ht="38.25">
      <c r="A54" s="112" t="s">
        <v>60</v>
      </c>
      <c r="B54" s="175" t="s">
        <v>147</v>
      </c>
      <c r="C54" s="36" t="s">
        <v>6</v>
      </c>
      <c r="D54" s="176">
        <v>1</v>
      </c>
      <c r="E54" s="545"/>
      <c r="F54" s="62">
        <f t="shared" si="2"/>
        <v>0</v>
      </c>
    </row>
    <row r="55" spans="1:7" ht="38.25">
      <c r="A55" s="112" t="s">
        <v>61</v>
      </c>
      <c r="B55" s="175" t="s">
        <v>90</v>
      </c>
      <c r="C55" s="36" t="s">
        <v>6</v>
      </c>
      <c r="D55" s="176">
        <v>3</v>
      </c>
      <c r="E55" s="545"/>
      <c r="F55" s="62">
        <f t="shared" si="2"/>
        <v>0</v>
      </c>
    </row>
    <row r="56" spans="1:7" s="192" customFormat="1" ht="89.25">
      <c r="A56" s="112" t="s">
        <v>62</v>
      </c>
      <c r="B56" s="237" t="s">
        <v>81</v>
      </c>
      <c r="C56" s="36" t="s">
        <v>9</v>
      </c>
      <c r="D56" s="37">
        <f>3*8</f>
        <v>24</v>
      </c>
      <c r="E56" s="521"/>
      <c r="F56" s="62">
        <f t="shared" si="2"/>
        <v>0</v>
      </c>
      <c r="G56" s="80"/>
    </row>
    <row r="57" spans="1:7">
      <c r="A57" s="165"/>
      <c r="B57" s="153" t="s">
        <v>113</v>
      </c>
      <c r="C57" s="154" t="s">
        <v>6</v>
      </c>
      <c r="D57" s="155">
        <v>3</v>
      </c>
      <c r="E57" s="537"/>
      <c r="F57" s="166">
        <f t="shared" si="2"/>
        <v>0</v>
      </c>
    </row>
    <row r="58" spans="1:7" s="192" customFormat="1" ht="89.25">
      <c r="A58" s="112" t="s">
        <v>63</v>
      </c>
      <c r="B58" s="237" t="s">
        <v>133</v>
      </c>
      <c r="C58" s="36" t="s">
        <v>9</v>
      </c>
      <c r="D58" s="37">
        <v>8</v>
      </c>
      <c r="E58" s="521"/>
      <c r="F58" s="62">
        <f t="shared" si="2"/>
        <v>0</v>
      </c>
      <c r="G58" s="80"/>
    </row>
    <row r="59" spans="1:7" ht="15" thickBot="1">
      <c r="A59" s="165"/>
      <c r="B59" s="153" t="s">
        <v>134</v>
      </c>
      <c r="C59" s="154" t="s">
        <v>6</v>
      </c>
      <c r="D59" s="155">
        <v>1</v>
      </c>
      <c r="E59" s="537"/>
      <c r="F59" s="166">
        <f t="shared" si="2"/>
        <v>0</v>
      </c>
    </row>
    <row r="60" spans="1:7" ht="15" thickBot="1">
      <c r="A60" s="146" t="s">
        <v>38</v>
      </c>
      <c r="B60" s="148" t="s">
        <v>26</v>
      </c>
      <c r="C60" s="72"/>
      <c r="D60" s="73"/>
      <c r="E60" s="98"/>
      <c r="F60" s="147">
        <f>SUM(F44:F59)</f>
        <v>0</v>
      </c>
    </row>
    <row r="61" spans="1:7" ht="15" thickBot="1">
      <c r="A61" s="109"/>
      <c r="B61" s="50"/>
      <c r="C61" s="51"/>
      <c r="D61" s="52"/>
      <c r="E61" s="88"/>
      <c r="F61" s="88"/>
    </row>
    <row r="62" spans="1:7" ht="15" thickBot="1">
      <c r="A62" s="110"/>
      <c r="B62" s="74" t="s">
        <v>39</v>
      </c>
      <c r="C62" s="75"/>
      <c r="D62" s="76"/>
      <c r="E62" s="99"/>
      <c r="F62" s="100"/>
    </row>
    <row r="63" spans="1:7" ht="63.75">
      <c r="A63" s="107"/>
      <c r="B63" s="56" t="s">
        <v>8</v>
      </c>
      <c r="C63" s="57"/>
      <c r="D63" s="58"/>
      <c r="E63" s="92"/>
      <c r="F63" s="93"/>
    </row>
    <row r="64" spans="1:7" ht="25.5">
      <c r="A64" s="108" t="s">
        <v>54</v>
      </c>
      <c r="B64" s="77" t="s">
        <v>42</v>
      </c>
      <c r="C64" s="42" t="s">
        <v>9</v>
      </c>
      <c r="D64" s="104">
        <v>170</v>
      </c>
      <c r="E64" s="538"/>
      <c r="F64" s="38">
        <f t="shared" ref="F64:F74" si="5">D64*E64</f>
        <v>0</v>
      </c>
    </row>
    <row r="65" spans="1:45" ht="25.5">
      <c r="A65" s="108" t="s">
        <v>55</v>
      </c>
      <c r="B65" s="77" t="s">
        <v>104</v>
      </c>
      <c r="C65" s="42" t="s">
        <v>9</v>
      </c>
      <c r="D65" s="104">
        <v>170</v>
      </c>
      <c r="E65" s="538"/>
      <c r="F65" s="38">
        <f>D65*E65</f>
        <v>0</v>
      </c>
    </row>
    <row r="66" spans="1:45">
      <c r="A66" s="108" t="s">
        <v>56</v>
      </c>
      <c r="B66" s="77" t="s">
        <v>105</v>
      </c>
      <c r="C66" s="42" t="s">
        <v>9</v>
      </c>
      <c r="D66" s="104">
        <v>170</v>
      </c>
      <c r="E66" s="538"/>
      <c r="F66" s="38">
        <f>D66*E66</f>
        <v>0</v>
      </c>
    </row>
    <row r="67" spans="1:45" ht="25.5">
      <c r="A67" s="108" t="s">
        <v>57</v>
      </c>
      <c r="B67" s="228" t="s">
        <v>116</v>
      </c>
      <c r="C67" s="36" t="s">
        <v>48</v>
      </c>
      <c r="D67" s="37">
        <v>52</v>
      </c>
      <c r="E67" s="539"/>
      <c r="F67" s="38">
        <f>D67*E67</f>
        <v>0</v>
      </c>
    </row>
    <row r="68" spans="1:45" ht="25.5">
      <c r="A68" s="112" t="s">
        <v>58</v>
      </c>
      <c r="B68" s="174" t="s">
        <v>117</v>
      </c>
      <c r="C68" s="36" t="s">
        <v>48</v>
      </c>
      <c r="D68" s="37">
        <f>D67</f>
        <v>52</v>
      </c>
      <c r="E68" s="539"/>
      <c r="F68" s="38">
        <f t="shared" si="5"/>
        <v>0</v>
      </c>
    </row>
    <row r="69" spans="1:45" ht="25.5">
      <c r="A69" s="108" t="s">
        <v>59</v>
      </c>
      <c r="B69" s="228" t="s">
        <v>118</v>
      </c>
      <c r="C69" s="36" t="s">
        <v>48</v>
      </c>
      <c r="D69" s="37">
        <v>475</v>
      </c>
      <c r="E69" s="539"/>
      <c r="F69" s="38">
        <f t="shared" si="5"/>
        <v>0</v>
      </c>
    </row>
    <row r="70" spans="1:45" ht="25.5">
      <c r="A70" s="112" t="s">
        <v>60</v>
      </c>
      <c r="B70" s="174" t="s">
        <v>119</v>
      </c>
      <c r="C70" s="36" t="s">
        <v>48</v>
      </c>
      <c r="D70" s="37">
        <f>D69</f>
        <v>475</v>
      </c>
      <c r="E70" s="539"/>
      <c r="F70" s="38">
        <f t="shared" si="5"/>
        <v>0</v>
      </c>
    </row>
    <row r="71" spans="1:45" ht="25.5">
      <c r="A71" s="112" t="s">
        <v>61</v>
      </c>
      <c r="B71" s="174" t="s">
        <v>120</v>
      </c>
      <c r="C71" s="36" t="s">
        <v>48</v>
      </c>
      <c r="D71" s="37">
        <f>D69</f>
        <v>475</v>
      </c>
      <c r="E71" s="539"/>
      <c r="F71" s="38">
        <f t="shared" si="5"/>
        <v>0</v>
      </c>
    </row>
    <row r="72" spans="1:45" s="192" customFormat="1">
      <c r="A72" s="112" t="s">
        <v>62</v>
      </c>
      <c r="B72" s="174" t="s">
        <v>126</v>
      </c>
      <c r="C72" s="36" t="s">
        <v>110</v>
      </c>
      <c r="D72" s="37">
        <v>80</v>
      </c>
      <c r="E72" s="539"/>
      <c r="F72" s="38">
        <f t="shared" si="5"/>
        <v>0</v>
      </c>
      <c r="G72" s="80"/>
    </row>
    <row r="73" spans="1:45" ht="25.5">
      <c r="A73" s="108" t="s">
        <v>63</v>
      </c>
      <c r="B73" s="39" t="s">
        <v>93</v>
      </c>
      <c r="C73" s="36" t="s">
        <v>47</v>
      </c>
      <c r="D73" s="37">
        <v>6</v>
      </c>
      <c r="E73" s="521"/>
      <c r="F73" s="38">
        <f t="shared" si="5"/>
        <v>0</v>
      </c>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row>
    <row r="74" spans="1:45" ht="51">
      <c r="A74" s="108" t="s">
        <v>64</v>
      </c>
      <c r="B74" s="39" t="s">
        <v>21</v>
      </c>
      <c r="C74" s="36" t="s">
        <v>6</v>
      </c>
      <c r="D74" s="37">
        <v>2</v>
      </c>
      <c r="E74" s="521"/>
      <c r="F74" s="38">
        <f t="shared" si="5"/>
        <v>0</v>
      </c>
    </row>
    <row r="75" spans="1:45" s="192" customFormat="1" ht="51.75" thickBot="1">
      <c r="A75" s="108" t="s">
        <v>65</v>
      </c>
      <c r="B75" s="39" t="s">
        <v>95</v>
      </c>
      <c r="C75" s="36" t="s">
        <v>6</v>
      </c>
      <c r="D75" s="37">
        <v>2</v>
      </c>
      <c r="E75" s="521"/>
      <c r="F75" s="38">
        <f>D75*E75</f>
        <v>0</v>
      </c>
      <c r="G75" s="80"/>
    </row>
    <row r="76" spans="1:45" ht="15" thickBot="1">
      <c r="A76" s="143" t="s">
        <v>40</v>
      </c>
      <c r="B76" s="144" t="s">
        <v>10</v>
      </c>
      <c r="C76" s="78"/>
      <c r="D76" s="79"/>
      <c r="E76" s="101"/>
      <c r="F76" s="145">
        <f>SUM(F64:F75)</f>
        <v>0</v>
      </c>
    </row>
    <row r="77" spans="1:45" ht="15" thickBot="1"/>
    <row r="78" spans="1:45" ht="15" thickBot="1">
      <c r="A78" s="211"/>
      <c r="B78" s="212" t="s">
        <v>144</v>
      </c>
      <c r="C78" s="213"/>
      <c r="D78" s="214"/>
      <c r="E78" s="215"/>
      <c r="F78" s="216">
        <f>F12+F40+F60+F76</f>
        <v>0</v>
      </c>
    </row>
  </sheetData>
  <sheetProtection algorithmName="SHA-512" hashValue="NeJWUckQ2Eyzcvd++U7jQ0Mvv6GgeSUVdHIsVGunBtPS4dKN4x0ZoCZQ399T3VIRLBvO2XVJzV47DiXGbPqQQQ==" saltValue="1IXEbwPKFjx468w0NbzL2A=="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1" max="16383" man="1"/>
    <brk id="61" max="16383" man="1"/>
  </rowBreaks>
  <ignoredErrors>
    <ignoredError sqref="A64:A75 A6:A11 A46:A58 A17:A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S74"/>
  <sheetViews>
    <sheetView view="pageBreakPreview" zoomScaleNormal="100" zoomScaleSheetLayoutView="100" workbookViewId="0">
      <selection activeCell="B7" sqref="B7"/>
    </sheetView>
  </sheetViews>
  <sheetFormatPr defaultRowHeight="14.25"/>
  <cols>
    <col min="1" max="1" width="4.85546875" style="115" bestFit="1" customWidth="1"/>
    <col min="2" max="2" width="45.42578125" style="80" customWidth="1"/>
    <col min="3" max="3" width="6.5703125" style="81" bestFit="1" customWidth="1"/>
    <col min="4" max="4" width="8.7109375" style="82" customWidth="1"/>
    <col min="5" max="5" width="10.5703125" style="102" customWidth="1"/>
    <col min="6" max="6" width="13" style="102" customWidth="1"/>
    <col min="7" max="7" width="9.140625" style="27"/>
    <col min="8" max="16384" width="9.140625" style="24"/>
  </cols>
  <sheetData>
    <row r="1" spans="1:6" s="225" customFormat="1" ht="18">
      <c r="A1" s="243" t="s">
        <v>136</v>
      </c>
      <c r="B1" s="221" t="s">
        <v>148</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19">
        <v>1</v>
      </c>
      <c r="B5" s="35" t="s">
        <v>46</v>
      </c>
      <c r="C5" s="36" t="s">
        <v>9</v>
      </c>
      <c r="D5" s="37">
        <v>145</v>
      </c>
      <c r="E5" s="521"/>
      <c r="F5" s="38">
        <f t="shared" ref="F5:F9" si="0">D5*E5</f>
        <v>0</v>
      </c>
    </row>
    <row r="6" spans="1:6" ht="25.5">
      <c r="A6" s="108" t="s">
        <v>55</v>
      </c>
      <c r="B6" s="39" t="s">
        <v>28</v>
      </c>
      <c r="C6" s="36" t="s">
        <v>6</v>
      </c>
      <c r="D6" s="37">
        <f>1+4+4</f>
        <v>9</v>
      </c>
      <c r="E6" s="521"/>
      <c r="F6" s="38">
        <f t="shared" si="0"/>
        <v>0</v>
      </c>
    </row>
    <row r="7" spans="1:6" ht="38.25">
      <c r="A7" s="107" t="s">
        <v>56</v>
      </c>
      <c r="B7" s="35" t="s">
        <v>83</v>
      </c>
      <c r="C7" s="40" t="s">
        <v>47</v>
      </c>
      <c r="D7" s="37">
        <v>5</v>
      </c>
      <c r="E7" s="521"/>
      <c r="F7" s="38">
        <f t="shared" si="0"/>
        <v>0</v>
      </c>
    </row>
    <row r="8" spans="1:6" ht="38.25">
      <c r="A8" s="108" t="s">
        <v>57</v>
      </c>
      <c r="B8" s="41" t="s">
        <v>121</v>
      </c>
      <c r="C8" s="36" t="s">
        <v>9</v>
      </c>
      <c r="D8" s="37">
        <v>6</v>
      </c>
      <c r="E8" s="521"/>
      <c r="F8" s="38">
        <f t="shared" si="0"/>
        <v>0</v>
      </c>
    </row>
    <row r="9" spans="1:6" ht="39" thickBot="1">
      <c r="A9" s="107" t="s">
        <v>58</v>
      </c>
      <c r="B9" s="218" t="s">
        <v>53</v>
      </c>
      <c r="C9" s="42" t="s">
        <v>48</v>
      </c>
      <c r="D9" s="37">
        <v>290</v>
      </c>
      <c r="E9" s="521"/>
      <c r="F9" s="38">
        <f t="shared" si="0"/>
        <v>0</v>
      </c>
    </row>
    <row r="10" spans="1:6" ht="15" thickBot="1">
      <c r="A10" s="140" t="s">
        <v>34</v>
      </c>
      <c r="B10" s="47" t="s">
        <v>12</v>
      </c>
      <c r="C10" s="48"/>
      <c r="D10" s="49"/>
      <c r="E10" s="87"/>
      <c r="F10" s="141">
        <f>SUM(F5:F9)</f>
        <v>0</v>
      </c>
    </row>
    <row r="11" spans="1:6" ht="15" thickBot="1">
      <c r="A11" s="109"/>
      <c r="B11" s="50"/>
      <c r="C11" s="51"/>
      <c r="D11" s="52"/>
      <c r="E11" s="88"/>
      <c r="F11" s="89"/>
    </row>
    <row r="12" spans="1:6" ht="15" thickBot="1">
      <c r="A12" s="110"/>
      <c r="B12" s="53" t="s">
        <v>35</v>
      </c>
      <c r="C12" s="54"/>
      <c r="D12" s="55"/>
      <c r="E12" s="90"/>
      <c r="F12" s="91"/>
    </row>
    <row r="13" spans="1:6" ht="51">
      <c r="A13" s="111"/>
      <c r="B13" s="56" t="s">
        <v>52</v>
      </c>
      <c r="C13" s="57"/>
      <c r="D13" s="58"/>
      <c r="E13" s="92"/>
      <c r="F13" s="93"/>
    </row>
    <row r="14" spans="1:6" ht="38.25">
      <c r="A14" s="107"/>
      <c r="B14" s="59" t="s">
        <v>25</v>
      </c>
      <c r="C14" s="36"/>
      <c r="D14" s="37"/>
      <c r="E14" s="44"/>
      <c r="F14" s="38"/>
    </row>
    <row r="15" spans="1:6" ht="38.25">
      <c r="A15" s="108" t="s">
        <v>54</v>
      </c>
      <c r="B15" s="35" t="s">
        <v>72</v>
      </c>
      <c r="C15" s="40" t="s">
        <v>47</v>
      </c>
      <c r="D15" s="37">
        <f>50*0.2</f>
        <v>10</v>
      </c>
      <c r="E15" s="521"/>
      <c r="F15" s="38">
        <f>D15*E15</f>
        <v>0</v>
      </c>
    </row>
    <row r="16" spans="1:6" ht="25.5">
      <c r="A16" s="108" t="s">
        <v>55</v>
      </c>
      <c r="B16" s="169" t="s">
        <v>101</v>
      </c>
      <c r="C16" s="40" t="s">
        <v>47</v>
      </c>
      <c r="D16" s="37">
        <f>430*0.3</f>
        <v>129</v>
      </c>
      <c r="E16" s="521"/>
      <c r="F16" s="38">
        <f>D16*E16</f>
        <v>0</v>
      </c>
    </row>
    <row r="17" spans="1:6">
      <c r="A17" s="108" t="s">
        <v>56</v>
      </c>
      <c r="B17" s="35" t="s">
        <v>43</v>
      </c>
      <c r="C17" s="40" t="s">
        <v>47</v>
      </c>
      <c r="D17" s="37">
        <v>10</v>
      </c>
      <c r="E17" s="521"/>
      <c r="F17" s="38">
        <f>D17*E17</f>
        <v>0</v>
      </c>
    </row>
    <row r="18" spans="1:6" ht="38.25">
      <c r="A18" s="152" t="s">
        <v>57</v>
      </c>
      <c r="B18" s="178" t="s">
        <v>78</v>
      </c>
      <c r="C18" s="179"/>
      <c r="D18" s="180"/>
      <c r="E18" s="181"/>
      <c r="F18" s="182"/>
    </row>
    <row r="19" spans="1:6">
      <c r="A19" s="187"/>
      <c r="B19" s="188" t="s">
        <v>77</v>
      </c>
      <c r="C19" s="189" t="s">
        <v>47</v>
      </c>
      <c r="D19" s="190">
        <f>308*0.9</f>
        <v>277.2</v>
      </c>
      <c r="E19" s="535"/>
      <c r="F19" s="191">
        <f>D19*E19</f>
        <v>0</v>
      </c>
    </row>
    <row r="20" spans="1:6">
      <c r="A20" s="107"/>
      <c r="B20" s="183" t="s">
        <v>76</v>
      </c>
      <c r="C20" s="184" t="s">
        <v>47</v>
      </c>
      <c r="D20" s="185">
        <v>2</v>
      </c>
      <c r="E20" s="541"/>
      <c r="F20" s="186">
        <f>D20*E20</f>
        <v>0</v>
      </c>
    </row>
    <row r="21" spans="1:6" ht="38.25">
      <c r="A21" s="152" t="s">
        <v>58</v>
      </c>
      <c r="B21" s="178" t="s">
        <v>108</v>
      </c>
      <c r="C21" s="179"/>
      <c r="D21" s="180"/>
      <c r="E21" s="181"/>
      <c r="F21" s="182"/>
    </row>
    <row r="22" spans="1:6">
      <c r="A22" s="187"/>
      <c r="B22" s="188" t="s">
        <v>77</v>
      </c>
      <c r="C22" s="189" t="s">
        <v>47</v>
      </c>
      <c r="D22" s="190">
        <f>430*0.25</f>
        <v>107.5</v>
      </c>
      <c r="E22" s="535"/>
      <c r="F22" s="191">
        <f>D22*E22</f>
        <v>0</v>
      </c>
    </row>
    <row r="23" spans="1:6" ht="38.25">
      <c r="A23" s="113" t="s">
        <v>59</v>
      </c>
      <c r="B23" s="178" t="s">
        <v>79</v>
      </c>
      <c r="C23" s="40" t="s">
        <v>47</v>
      </c>
      <c r="D23" s="190">
        <f>308*0.1</f>
        <v>30.8</v>
      </c>
      <c r="E23" s="542"/>
      <c r="F23" s="60">
        <f>D23*E23</f>
        <v>0</v>
      </c>
    </row>
    <row r="24" spans="1:6" ht="38.25">
      <c r="A24" s="113" t="s">
        <v>60</v>
      </c>
      <c r="B24" s="35" t="s">
        <v>29</v>
      </c>
      <c r="C24" s="40" t="s">
        <v>48</v>
      </c>
      <c r="D24" s="37">
        <f>1.3*145*2</f>
        <v>377</v>
      </c>
      <c r="E24" s="520"/>
      <c r="F24" s="60">
        <f t="shared" ref="F24:F38" si="1">D24*E24</f>
        <v>0</v>
      </c>
    </row>
    <row r="25" spans="1:6" ht="63.75">
      <c r="A25" s="113" t="s">
        <v>61</v>
      </c>
      <c r="B25" s="35" t="s">
        <v>73</v>
      </c>
      <c r="C25" s="40" t="s">
        <v>6</v>
      </c>
      <c r="D25" s="37">
        <v>6</v>
      </c>
      <c r="E25" s="520"/>
      <c r="F25" s="60">
        <f t="shared" si="1"/>
        <v>0</v>
      </c>
    </row>
    <row r="26" spans="1:6" ht="25.5">
      <c r="A26" s="108" t="s">
        <v>62</v>
      </c>
      <c r="B26" s="35" t="s">
        <v>44</v>
      </c>
      <c r="C26" s="42" t="s">
        <v>48</v>
      </c>
      <c r="D26" s="37">
        <f>145*0.9</f>
        <v>130.5</v>
      </c>
      <c r="E26" s="521"/>
      <c r="F26" s="60">
        <f t="shared" si="1"/>
        <v>0</v>
      </c>
    </row>
    <row r="27" spans="1:6" ht="51">
      <c r="A27" s="113" t="s">
        <v>63</v>
      </c>
      <c r="B27" s="169" t="s">
        <v>84</v>
      </c>
      <c r="C27" s="40" t="s">
        <v>47</v>
      </c>
      <c r="D27" s="37">
        <f>28.14*1.1</f>
        <v>30.954000000000004</v>
      </c>
      <c r="E27" s="521"/>
      <c r="F27" s="60">
        <f t="shared" si="1"/>
        <v>0</v>
      </c>
    </row>
    <row r="28" spans="1:6" ht="51">
      <c r="A28" s="108" t="s">
        <v>64</v>
      </c>
      <c r="B28" s="169" t="s">
        <v>85</v>
      </c>
      <c r="C28" s="40" t="s">
        <v>47</v>
      </c>
      <c r="D28" s="37">
        <f>49.37*1.1</f>
        <v>54.307000000000002</v>
      </c>
      <c r="E28" s="521"/>
      <c r="F28" s="60">
        <f t="shared" si="1"/>
        <v>0</v>
      </c>
    </row>
    <row r="29" spans="1:6" ht="76.5">
      <c r="A29" s="113" t="s">
        <v>65</v>
      </c>
      <c r="B29" s="35" t="s">
        <v>22</v>
      </c>
      <c r="C29" s="40" t="s">
        <v>47</v>
      </c>
      <c r="D29" s="37">
        <v>187.28</v>
      </c>
      <c r="E29" s="521"/>
      <c r="F29" s="60">
        <f t="shared" si="1"/>
        <v>0</v>
      </c>
    </row>
    <row r="30" spans="1:6" ht="38.25">
      <c r="A30" s="108" t="s">
        <v>66</v>
      </c>
      <c r="B30" s="173" t="s">
        <v>86</v>
      </c>
      <c r="C30" s="40" t="s">
        <v>47</v>
      </c>
      <c r="D30" s="37">
        <f>430*0.3*1.1</f>
        <v>141.9</v>
      </c>
      <c r="E30" s="521"/>
      <c r="F30" s="60">
        <f t="shared" si="1"/>
        <v>0</v>
      </c>
    </row>
    <row r="31" spans="1:6" ht="38.25">
      <c r="A31" s="113" t="s">
        <v>67</v>
      </c>
      <c r="B31" s="173" t="s">
        <v>100</v>
      </c>
      <c r="C31" s="40" t="s">
        <v>47</v>
      </c>
      <c r="D31" s="37">
        <f>430*0.25*1.1</f>
        <v>118.25000000000001</v>
      </c>
      <c r="E31" s="521"/>
      <c r="F31" s="60">
        <f t="shared" si="1"/>
        <v>0</v>
      </c>
    </row>
    <row r="32" spans="1:6" ht="25.5">
      <c r="A32" s="108" t="s">
        <v>68</v>
      </c>
      <c r="B32" s="61" t="s">
        <v>45</v>
      </c>
      <c r="C32" s="36" t="s">
        <v>9</v>
      </c>
      <c r="D32" s="37">
        <v>145</v>
      </c>
      <c r="E32" s="521"/>
      <c r="F32" s="60">
        <f t="shared" si="1"/>
        <v>0</v>
      </c>
    </row>
    <row r="33" spans="1:7" ht="38.25">
      <c r="A33" s="113" t="s">
        <v>69</v>
      </c>
      <c r="B33" s="61" t="s">
        <v>150</v>
      </c>
      <c r="C33" s="40" t="s">
        <v>47</v>
      </c>
      <c r="D33" s="37">
        <f>((D9*0.1)+D16+D17+D19+D20+D22-D29)*1.25</f>
        <v>459.27500000000009</v>
      </c>
      <c r="E33" s="521"/>
      <c r="F33" s="60">
        <f t="shared" si="1"/>
        <v>0</v>
      </c>
    </row>
    <row r="34" spans="1:7" ht="25.5">
      <c r="A34" s="108" t="s">
        <v>70</v>
      </c>
      <c r="B34" s="35" t="s">
        <v>23</v>
      </c>
      <c r="C34" s="42" t="s">
        <v>48</v>
      </c>
      <c r="D34" s="37">
        <v>430</v>
      </c>
      <c r="E34" s="521"/>
      <c r="F34" s="60">
        <f t="shared" si="1"/>
        <v>0</v>
      </c>
    </row>
    <row r="35" spans="1:7" s="235" customFormat="1">
      <c r="A35" s="108" t="s">
        <v>71</v>
      </c>
      <c r="B35" s="218" t="s">
        <v>115</v>
      </c>
      <c r="C35" s="42" t="s">
        <v>48</v>
      </c>
      <c r="D35" s="37">
        <f>D34*1.1</f>
        <v>473.00000000000006</v>
      </c>
      <c r="E35" s="521"/>
      <c r="F35" s="60">
        <f t="shared" si="1"/>
        <v>0</v>
      </c>
      <c r="G35" s="27"/>
    </row>
    <row r="36" spans="1:7" s="235" customFormat="1">
      <c r="A36" s="108" t="s">
        <v>80</v>
      </c>
      <c r="B36" s="218" t="s">
        <v>156</v>
      </c>
      <c r="C36" s="42" t="s">
        <v>110</v>
      </c>
      <c r="D36" s="37">
        <f>141*2-17</f>
        <v>265</v>
      </c>
      <c r="E36" s="521"/>
      <c r="F36" s="60">
        <f t="shared" si="1"/>
        <v>0</v>
      </c>
      <c r="G36" s="27"/>
    </row>
    <row r="37" spans="1:7" ht="38.25">
      <c r="A37" s="113" t="s">
        <v>102</v>
      </c>
      <c r="B37" s="61" t="s">
        <v>87</v>
      </c>
      <c r="C37" s="40" t="s">
        <v>47</v>
      </c>
      <c r="D37" s="37">
        <f>50*0.2</f>
        <v>10</v>
      </c>
      <c r="E37" s="521"/>
      <c r="F37" s="60">
        <f t="shared" si="1"/>
        <v>0</v>
      </c>
    </row>
    <row r="38" spans="1:7" ht="26.25" thickBot="1">
      <c r="A38" s="113" t="s">
        <v>111</v>
      </c>
      <c r="B38" s="220" t="s">
        <v>74</v>
      </c>
      <c r="C38" s="40" t="s">
        <v>48</v>
      </c>
      <c r="D38" s="37">
        <v>50</v>
      </c>
      <c r="E38" s="521"/>
      <c r="F38" s="60">
        <f t="shared" si="1"/>
        <v>0</v>
      </c>
    </row>
    <row r="39" spans="1:7" ht="15" thickBot="1">
      <c r="A39" s="149" t="s">
        <v>36</v>
      </c>
      <c r="B39" s="150" t="s">
        <v>11</v>
      </c>
      <c r="C39" s="63"/>
      <c r="D39" s="64"/>
      <c r="E39" s="552"/>
      <c r="F39" s="151">
        <f>SUM(F15:F38)</f>
        <v>0</v>
      </c>
    </row>
    <row r="40" spans="1:7" ht="15" thickBot="1">
      <c r="A40" s="109"/>
      <c r="B40" s="65"/>
      <c r="C40" s="66"/>
      <c r="D40" s="67"/>
      <c r="E40" s="95"/>
      <c r="F40" s="88"/>
    </row>
    <row r="41" spans="1:7" ht="15" thickBot="1">
      <c r="A41" s="114"/>
      <c r="B41" s="68" t="s">
        <v>37</v>
      </c>
      <c r="C41" s="69"/>
      <c r="D41" s="70"/>
      <c r="E41" s="96"/>
      <c r="F41" s="97"/>
    </row>
    <row r="42" spans="1:7" ht="63.75">
      <c r="A42" s="111"/>
      <c r="B42" s="71" t="s">
        <v>24</v>
      </c>
      <c r="C42" s="32"/>
      <c r="D42" s="33"/>
      <c r="E42" s="86"/>
      <c r="F42" s="34"/>
    </row>
    <row r="43" spans="1:7" ht="76.5">
      <c r="A43" s="112">
        <v>1</v>
      </c>
      <c r="B43" s="61" t="s">
        <v>97</v>
      </c>
      <c r="C43" s="45" t="s">
        <v>9</v>
      </c>
      <c r="D43" s="103">
        <v>150</v>
      </c>
      <c r="E43" s="536"/>
      <c r="F43" s="62">
        <f t="shared" ref="F43:F58" si="2">D43*E43</f>
        <v>0</v>
      </c>
    </row>
    <row r="44" spans="1:7">
      <c r="A44" s="167"/>
      <c r="B44" s="156" t="s">
        <v>151</v>
      </c>
      <c r="C44" s="157" t="s">
        <v>6</v>
      </c>
      <c r="D44" s="103">
        <v>8</v>
      </c>
      <c r="E44" s="536"/>
      <c r="F44" s="62">
        <f t="shared" si="2"/>
        <v>0</v>
      </c>
    </row>
    <row r="45" spans="1:7">
      <c r="A45" s="112"/>
      <c r="B45" s="220" t="s">
        <v>152</v>
      </c>
      <c r="C45" s="45" t="s">
        <v>6</v>
      </c>
      <c r="D45" s="103">
        <v>2</v>
      </c>
      <c r="E45" s="536"/>
      <c r="F45" s="62">
        <f t="shared" si="2"/>
        <v>0</v>
      </c>
    </row>
    <row r="46" spans="1:7" ht="76.5">
      <c r="A46" s="112" t="s">
        <v>55</v>
      </c>
      <c r="B46" s="226" t="s">
        <v>128</v>
      </c>
      <c r="C46" s="45"/>
      <c r="D46" s="103"/>
      <c r="E46" s="46"/>
      <c r="F46" s="62"/>
    </row>
    <row r="47" spans="1:7">
      <c r="A47" s="167"/>
      <c r="B47" s="156" t="s">
        <v>129</v>
      </c>
      <c r="C47" s="240"/>
      <c r="D47" s="241"/>
      <c r="E47" s="242"/>
      <c r="F47" s="242"/>
    </row>
    <row r="48" spans="1:7">
      <c r="A48" s="238"/>
      <c r="B48" s="239" t="s">
        <v>130</v>
      </c>
      <c r="C48" s="240"/>
      <c r="D48" s="241"/>
      <c r="E48" s="242"/>
      <c r="F48" s="242"/>
    </row>
    <row r="49" spans="1:6">
      <c r="A49" s="238"/>
      <c r="B49" s="239" t="s">
        <v>131</v>
      </c>
      <c r="C49" s="240"/>
      <c r="D49" s="241"/>
      <c r="E49" s="242"/>
      <c r="F49" s="242"/>
    </row>
    <row r="50" spans="1:6">
      <c r="A50" s="238"/>
      <c r="B50" s="239" t="s">
        <v>132</v>
      </c>
      <c r="C50" s="157" t="s">
        <v>6</v>
      </c>
      <c r="D50" s="158">
        <v>1</v>
      </c>
      <c r="E50" s="543"/>
      <c r="F50" s="168">
        <f>D50*E50</f>
        <v>0</v>
      </c>
    </row>
    <row r="51" spans="1:6" ht="191.25">
      <c r="A51" s="159" t="s">
        <v>56</v>
      </c>
      <c r="B51" s="160" t="s">
        <v>99</v>
      </c>
      <c r="C51" s="161"/>
      <c r="D51" s="162"/>
      <c r="E51" s="163"/>
      <c r="F51" s="164"/>
    </row>
    <row r="52" spans="1:6">
      <c r="A52" s="167"/>
      <c r="B52" s="156" t="s">
        <v>30</v>
      </c>
      <c r="C52" s="157" t="s">
        <v>6</v>
      </c>
      <c r="D52" s="158">
        <v>4</v>
      </c>
      <c r="E52" s="543"/>
      <c r="F52" s="168">
        <f t="shared" si="2"/>
        <v>0</v>
      </c>
    </row>
    <row r="53" spans="1:6" ht="51">
      <c r="A53" s="112" t="s">
        <v>57</v>
      </c>
      <c r="B53" s="61" t="s">
        <v>109</v>
      </c>
      <c r="C53" s="36" t="s">
        <v>6</v>
      </c>
      <c r="D53" s="37">
        <v>1</v>
      </c>
      <c r="E53" s="521"/>
      <c r="F53" s="62">
        <f t="shared" si="2"/>
        <v>0</v>
      </c>
    </row>
    <row r="54" spans="1:6" ht="102">
      <c r="A54" s="112" t="s">
        <v>58</v>
      </c>
      <c r="B54" s="35" t="s">
        <v>88</v>
      </c>
      <c r="C54" s="36" t="s">
        <v>6</v>
      </c>
      <c r="D54" s="37">
        <v>4</v>
      </c>
      <c r="E54" s="520"/>
      <c r="F54" s="62">
        <f t="shared" si="2"/>
        <v>0</v>
      </c>
    </row>
    <row r="55" spans="1:6" ht="51">
      <c r="A55" s="112" t="s">
        <v>59</v>
      </c>
      <c r="B55" s="35" t="s">
        <v>89</v>
      </c>
      <c r="C55" s="36" t="s">
        <v>6</v>
      </c>
      <c r="D55" s="37">
        <v>4</v>
      </c>
      <c r="E55" s="520"/>
      <c r="F55" s="62">
        <f t="shared" si="2"/>
        <v>0</v>
      </c>
    </row>
    <row r="56" spans="1:6" ht="38.25">
      <c r="A56" s="112" t="s">
        <v>60</v>
      </c>
      <c r="B56" s="175" t="s">
        <v>90</v>
      </c>
      <c r="C56" s="36" t="s">
        <v>6</v>
      </c>
      <c r="D56" s="176">
        <v>4</v>
      </c>
      <c r="E56" s="545"/>
      <c r="F56" s="62">
        <f t="shared" si="2"/>
        <v>0</v>
      </c>
    </row>
    <row r="57" spans="1:6" ht="89.25">
      <c r="A57" s="112" t="s">
        <v>61</v>
      </c>
      <c r="B57" s="218" t="s">
        <v>81</v>
      </c>
      <c r="C57" s="36" t="s">
        <v>9</v>
      </c>
      <c r="D57" s="37">
        <f>4*8</f>
        <v>32</v>
      </c>
      <c r="E57" s="520"/>
      <c r="F57" s="62">
        <f t="shared" si="2"/>
        <v>0</v>
      </c>
    </row>
    <row r="58" spans="1:6" ht="15" thickBot="1">
      <c r="A58" s="165"/>
      <c r="B58" s="153" t="s">
        <v>113</v>
      </c>
      <c r="C58" s="154" t="s">
        <v>6</v>
      </c>
      <c r="D58" s="155">
        <v>4</v>
      </c>
      <c r="E58" s="537"/>
      <c r="F58" s="166">
        <f t="shared" si="2"/>
        <v>0</v>
      </c>
    </row>
    <row r="59" spans="1:6" ht="15" thickBot="1">
      <c r="A59" s="146" t="s">
        <v>38</v>
      </c>
      <c r="B59" s="148" t="s">
        <v>26</v>
      </c>
      <c r="C59" s="72"/>
      <c r="D59" s="73"/>
      <c r="E59" s="98"/>
      <c r="F59" s="147">
        <f>SUM(F43:F58)</f>
        <v>0</v>
      </c>
    </row>
    <row r="60" spans="1:6" ht="15" thickBot="1">
      <c r="A60" s="109"/>
      <c r="B60" s="50"/>
      <c r="C60" s="51"/>
      <c r="D60" s="52"/>
      <c r="E60" s="88"/>
      <c r="F60" s="88"/>
    </row>
    <row r="61" spans="1:6" ht="15" thickBot="1">
      <c r="A61" s="110"/>
      <c r="B61" s="74" t="s">
        <v>39</v>
      </c>
      <c r="C61" s="75"/>
      <c r="D61" s="76"/>
      <c r="E61" s="99"/>
      <c r="F61" s="100"/>
    </row>
    <row r="62" spans="1:6" ht="63.75">
      <c r="A62" s="107"/>
      <c r="B62" s="56" t="s">
        <v>8</v>
      </c>
      <c r="C62" s="57"/>
      <c r="D62" s="58"/>
      <c r="E62" s="92"/>
      <c r="F62" s="93"/>
    </row>
    <row r="63" spans="1:6" ht="25.5">
      <c r="A63" s="108" t="s">
        <v>54</v>
      </c>
      <c r="B63" s="77" t="s">
        <v>42</v>
      </c>
      <c r="C63" s="42" t="s">
        <v>9</v>
      </c>
      <c r="D63" s="104">
        <v>145</v>
      </c>
      <c r="E63" s="538"/>
      <c r="F63" s="38">
        <f t="shared" ref="F63:F69" si="3">D63*E63</f>
        <v>0</v>
      </c>
    </row>
    <row r="64" spans="1:6" ht="25.5">
      <c r="A64" s="108" t="s">
        <v>55</v>
      </c>
      <c r="B64" s="77" t="s">
        <v>104</v>
      </c>
      <c r="C64" s="42" t="s">
        <v>9</v>
      </c>
      <c r="D64" s="104">
        <v>145</v>
      </c>
      <c r="E64" s="538"/>
      <c r="F64" s="38">
        <f>D64*E64</f>
        <v>0</v>
      </c>
    </row>
    <row r="65" spans="1:45">
      <c r="A65" s="108" t="s">
        <v>56</v>
      </c>
      <c r="B65" s="77" t="s">
        <v>105</v>
      </c>
      <c r="C65" s="42" t="s">
        <v>9</v>
      </c>
      <c r="D65" s="104">
        <v>145</v>
      </c>
      <c r="E65" s="538"/>
      <c r="F65" s="38">
        <f>D65*E65</f>
        <v>0</v>
      </c>
    </row>
    <row r="66" spans="1:45" ht="25.5">
      <c r="A66" s="108" t="s">
        <v>57</v>
      </c>
      <c r="B66" s="228" t="s">
        <v>116</v>
      </c>
      <c r="C66" s="36" t="s">
        <v>48</v>
      </c>
      <c r="D66" s="37">
        <v>290</v>
      </c>
      <c r="E66" s="539"/>
      <c r="F66" s="38">
        <f>D66*E66</f>
        <v>0</v>
      </c>
    </row>
    <row r="67" spans="1:45" ht="25.5">
      <c r="A67" s="112" t="s">
        <v>58</v>
      </c>
      <c r="B67" s="174" t="s">
        <v>117</v>
      </c>
      <c r="C67" s="36" t="s">
        <v>48</v>
      </c>
      <c r="D67" s="37">
        <v>290</v>
      </c>
      <c r="E67" s="539"/>
      <c r="F67" s="38">
        <f t="shared" si="3"/>
        <v>0</v>
      </c>
    </row>
    <row r="68" spans="1:45" ht="25.5">
      <c r="A68" s="108" t="s">
        <v>59</v>
      </c>
      <c r="B68" s="39" t="s">
        <v>93</v>
      </c>
      <c r="C68" s="36" t="s">
        <v>47</v>
      </c>
      <c r="D68" s="37">
        <v>5</v>
      </c>
      <c r="E68" s="521"/>
      <c r="F68" s="38">
        <f t="shared" si="3"/>
        <v>0</v>
      </c>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row>
    <row r="69" spans="1:45" ht="51">
      <c r="A69" s="108" t="s">
        <v>60</v>
      </c>
      <c r="B69" s="39" t="s">
        <v>21</v>
      </c>
      <c r="C69" s="36" t="s">
        <v>6</v>
      </c>
      <c r="D69" s="37">
        <v>5</v>
      </c>
      <c r="E69" s="521"/>
      <c r="F69" s="38">
        <f t="shared" si="3"/>
        <v>0</v>
      </c>
    </row>
    <row r="70" spans="1:45" s="192" customFormat="1" ht="51">
      <c r="A70" s="108" t="s">
        <v>61</v>
      </c>
      <c r="B70" s="39" t="s">
        <v>95</v>
      </c>
      <c r="C70" s="36" t="s">
        <v>6</v>
      </c>
      <c r="D70" s="37">
        <v>2</v>
      </c>
      <c r="E70" s="521"/>
      <c r="F70" s="38">
        <f>D70*E70</f>
        <v>0</v>
      </c>
      <c r="G70" s="80"/>
    </row>
    <row r="71" spans="1:45" s="192" customFormat="1" ht="51.75" thickBot="1">
      <c r="A71" s="108" t="s">
        <v>62</v>
      </c>
      <c r="B71" s="217" t="s">
        <v>96</v>
      </c>
      <c r="C71" s="36" t="s">
        <v>6</v>
      </c>
      <c r="D71" s="37">
        <v>1</v>
      </c>
      <c r="E71" s="521"/>
      <c r="F71" s="38">
        <f>D71*E71</f>
        <v>0</v>
      </c>
      <c r="G71" s="80"/>
    </row>
    <row r="72" spans="1:45" ht="15" thickBot="1">
      <c r="A72" s="143" t="s">
        <v>40</v>
      </c>
      <c r="B72" s="144" t="s">
        <v>10</v>
      </c>
      <c r="C72" s="78"/>
      <c r="D72" s="79"/>
      <c r="E72" s="101"/>
      <c r="F72" s="145">
        <f>SUM(F63:F71)</f>
        <v>0</v>
      </c>
    </row>
    <row r="73" spans="1:45" ht="15" thickBot="1"/>
    <row r="74" spans="1:45" ht="15" thickBot="1">
      <c r="A74" s="211"/>
      <c r="B74" s="212" t="s">
        <v>149</v>
      </c>
      <c r="C74" s="213"/>
      <c r="D74" s="214"/>
      <c r="E74" s="215"/>
      <c r="F74" s="216">
        <f>F10+F39+F59+F72</f>
        <v>0</v>
      </c>
    </row>
  </sheetData>
  <sheetProtection algorithmName="SHA-512" hashValue="H7VzMXLjGZD4Hp7ZLFYjsAlo6sKdysuMb/X6V313PjIaixBLrq4Zge9N0axH0/WzGjEcLQuKBOsmSUlVfjKbwQ==" saltValue="4KPilY+5oorat7QjkgYxW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0" max="5" man="1"/>
    <brk id="59" max="16383" man="1"/>
  </rowBreaks>
  <ignoredErrors>
    <ignoredError sqref="A6:A9 A15:A38 A46:A57 A63:A7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S63"/>
  <sheetViews>
    <sheetView view="pageBreakPreview" topLeftCell="A51" zoomScaleNormal="100" zoomScaleSheetLayoutView="100" workbookViewId="0">
      <selection activeCell="E53" sqref="E53:E60"/>
    </sheetView>
  </sheetViews>
  <sheetFormatPr defaultRowHeight="14.25"/>
  <cols>
    <col min="1" max="1" width="4.85546875" style="115" bestFit="1" customWidth="1"/>
    <col min="2" max="2" width="45.42578125" style="80" customWidth="1"/>
    <col min="3" max="3" width="6.5703125" style="81" bestFit="1" customWidth="1"/>
    <col min="4" max="4" width="8.7109375" style="82" customWidth="1"/>
    <col min="5" max="5" width="10.5703125" style="102" customWidth="1"/>
    <col min="6" max="6" width="13" style="102" customWidth="1"/>
    <col min="7" max="7" width="9.140625" style="27"/>
    <col min="8" max="16384" width="9.140625" style="24"/>
  </cols>
  <sheetData>
    <row r="1" spans="1:6" s="225" customFormat="1" ht="18">
      <c r="A1" s="243" t="s">
        <v>137</v>
      </c>
      <c r="B1" s="221" t="s">
        <v>153</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19">
        <v>1</v>
      </c>
      <c r="B5" s="35" t="s">
        <v>46</v>
      </c>
      <c r="C5" s="36" t="s">
        <v>9</v>
      </c>
      <c r="D5" s="37">
        <v>85</v>
      </c>
      <c r="E5" s="521"/>
      <c r="F5" s="38">
        <f t="shared" ref="F5:F9" si="0">D5*E5</f>
        <v>0</v>
      </c>
    </row>
    <row r="6" spans="1:6" ht="25.5">
      <c r="A6" s="108" t="s">
        <v>55</v>
      </c>
      <c r="B6" s="39" t="s">
        <v>28</v>
      </c>
      <c r="C6" s="36" t="s">
        <v>6</v>
      </c>
      <c r="D6" s="37">
        <f>1+4+1</f>
        <v>6</v>
      </c>
      <c r="E6" s="521"/>
      <c r="F6" s="38">
        <f t="shared" si="0"/>
        <v>0</v>
      </c>
    </row>
    <row r="7" spans="1:6" ht="38.25">
      <c r="A7" s="107" t="s">
        <v>56</v>
      </c>
      <c r="B7" s="35" t="s">
        <v>83</v>
      </c>
      <c r="C7" s="40" t="s">
        <v>47</v>
      </c>
      <c r="D7" s="37">
        <v>5</v>
      </c>
      <c r="E7" s="521"/>
      <c r="F7" s="38">
        <f t="shared" si="0"/>
        <v>0</v>
      </c>
    </row>
    <row r="8" spans="1:6" ht="38.25">
      <c r="A8" s="108" t="s">
        <v>57</v>
      </c>
      <c r="B8" s="41" t="s">
        <v>121</v>
      </c>
      <c r="C8" s="36" t="s">
        <v>9</v>
      </c>
      <c r="D8" s="37">
        <v>3</v>
      </c>
      <c r="E8" s="521"/>
      <c r="F8" s="38">
        <f t="shared" si="0"/>
        <v>0</v>
      </c>
    </row>
    <row r="9" spans="1:6" ht="39" thickBot="1">
      <c r="A9" s="107" t="s">
        <v>58</v>
      </c>
      <c r="B9" s="218" t="s">
        <v>53</v>
      </c>
      <c r="C9" s="42" t="s">
        <v>48</v>
      </c>
      <c r="D9" s="37">
        <v>245</v>
      </c>
      <c r="E9" s="521"/>
      <c r="F9" s="38">
        <f t="shared" si="0"/>
        <v>0</v>
      </c>
    </row>
    <row r="10" spans="1:6" ht="15" thickBot="1">
      <c r="A10" s="140" t="s">
        <v>34</v>
      </c>
      <c r="B10" s="47" t="s">
        <v>12</v>
      </c>
      <c r="C10" s="48"/>
      <c r="D10" s="49"/>
      <c r="E10" s="87"/>
      <c r="F10" s="141">
        <f>SUM(F5:F9)</f>
        <v>0</v>
      </c>
    </row>
    <row r="11" spans="1:6" ht="15" thickBot="1">
      <c r="A11" s="109"/>
      <c r="B11" s="50"/>
      <c r="C11" s="51"/>
      <c r="D11" s="52"/>
      <c r="E11" s="88"/>
      <c r="F11" s="89"/>
    </row>
    <row r="12" spans="1:6" ht="15" thickBot="1">
      <c r="A12" s="110"/>
      <c r="B12" s="53" t="s">
        <v>35</v>
      </c>
      <c r="C12" s="54"/>
      <c r="D12" s="55"/>
      <c r="E12" s="90"/>
      <c r="F12" s="91"/>
    </row>
    <row r="13" spans="1:6" ht="51">
      <c r="A13" s="111"/>
      <c r="B13" s="56" t="s">
        <v>52</v>
      </c>
      <c r="C13" s="57"/>
      <c r="D13" s="58"/>
      <c r="E13" s="92"/>
      <c r="F13" s="93"/>
    </row>
    <row r="14" spans="1:6" ht="38.25">
      <c r="A14" s="107"/>
      <c r="B14" s="59" t="s">
        <v>25</v>
      </c>
      <c r="C14" s="36"/>
      <c r="D14" s="37"/>
      <c r="E14" s="44"/>
      <c r="F14" s="38"/>
    </row>
    <row r="15" spans="1:6" ht="25.5">
      <c r="A15" s="108" t="s">
        <v>54</v>
      </c>
      <c r="B15" s="169" t="s">
        <v>101</v>
      </c>
      <c r="C15" s="40" t="s">
        <v>47</v>
      </c>
      <c r="D15" s="37">
        <f>333*0.3</f>
        <v>99.899999999999991</v>
      </c>
      <c r="E15" s="521"/>
      <c r="F15" s="38">
        <f>D15*E15</f>
        <v>0</v>
      </c>
    </row>
    <row r="16" spans="1:6">
      <c r="A16" s="108" t="s">
        <v>55</v>
      </c>
      <c r="B16" s="35" t="s">
        <v>43</v>
      </c>
      <c r="C16" s="40" t="s">
        <v>47</v>
      </c>
      <c r="D16" s="37">
        <v>5</v>
      </c>
      <c r="E16" s="521"/>
      <c r="F16" s="38">
        <f>D16*E16</f>
        <v>0</v>
      </c>
    </row>
    <row r="17" spans="1:6" ht="38.25">
      <c r="A17" s="152" t="s">
        <v>56</v>
      </c>
      <c r="B17" s="178" t="s">
        <v>78</v>
      </c>
      <c r="C17" s="179"/>
      <c r="D17" s="180"/>
      <c r="E17" s="181"/>
      <c r="F17" s="182"/>
    </row>
    <row r="18" spans="1:6">
      <c r="A18" s="187"/>
      <c r="B18" s="188" t="s">
        <v>77</v>
      </c>
      <c r="C18" s="189" t="s">
        <v>47</v>
      </c>
      <c r="D18" s="190">
        <f>149.57*0.9</f>
        <v>134.613</v>
      </c>
      <c r="E18" s="535"/>
      <c r="F18" s="191">
        <f>D18*E18</f>
        <v>0</v>
      </c>
    </row>
    <row r="19" spans="1:6" ht="38.25">
      <c r="A19" s="152" t="s">
        <v>57</v>
      </c>
      <c r="B19" s="178" t="s">
        <v>108</v>
      </c>
      <c r="C19" s="179"/>
      <c r="D19" s="180"/>
      <c r="E19" s="181"/>
      <c r="F19" s="182"/>
    </row>
    <row r="20" spans="1:6">
      <c r="A20" s="187"/>
      <c r="B20" s="188" t="s">
        <v>77</v>
      </c>
      <c r="C20" s="189" t="s">
        <v>47</v>
      </c>
      <c r="D20" s="190">
        <f>333*0.25</f>
        <v>83.25</v>
      </c>
      <c r="E20" s="535"/>
      <c r="F20" s="191">
        <f>D20*E20</f>
        <v>0</v>
      </c>
    </row>
    <row r="21" spans="1:6" ht="38.25">
      <c r="A21" s="113" t="s">
        <v>58</v>
      </c>
      <c r="B21" s="178" t="s">
        <v>79</v>
      </c>
      <c r="C21" s="40" t="s">
        <v>47</v>
      </c>
      <c r="D21" s="190">
        <f>149.57*0.1</f>
        <v>14.957000000000001</v>
      </c>
      <c r="E21" s="542"/>
      <c r="F21" s="60">
        <f>D21*E21</f>
        <v>0</v>
      </c>
    </row>
    <row r="22" spans="1:6" ht="38.25">
      <c r="A22" s="113" t="s">
        <v>59</v>
      </c>
      <c r="B22" s="35" t="s">
        <v>29</v>
      </c>
      <c r="C22" s="40" t="s">
        <v>48</v>
      </c>
      <c r="D22" s="37">
        <f>1.2*2*85</f>
        <v>204</v>
      </c>
      <c r="E22" s="520"/>
      <c r="F22" s="60">
        <f t="shared" ref="F22:F33" si="1">D22*E22</f>
        <v>0</v>
      </c>
    </row>
    <row r="23" spans="1:6" ht="63.75">
      <c r="A23" s="113" t="s">
        <v>60</v>
      </c>
      <c r="B23" s="35" t="s">
        <v>73</v>
      </c>
      <c r="C23" s="40" t="s">
        <v>6</v>
      </c>
      <c r="D23" s="37">
        <v>3</v>
      </c>
      <c r="E23" s="520"/>
      <c r="F23" s="60">
        <f t="shared" si="1"/>
        <v>0</v>
      </c>
    </row>
    <row r="24" spans="1:6" ht="25.5">
      <c r="A24" s="108" t="s">
        <v>61</v>
      </c>
      <c r="B24" s="35" t="s">
        <v>44</v>
      </c>
      <c r="C24" s="42" t="s">
        <v>48</v>
      </c>
      <c r="D24" s="37">
        <f>85*0.9</f>
        <v>76.5</v>
      </c>
      <c r="E24" s="521"/>
      <c r="F24" s="60">
        <f t="shared" si="1"/>
        <v>0</v>
      </c>
    </row>
    <row r="25" spans="1:6" ht="51">
      <c r="A25" s="113" t="s">
        <v>62</v>
      </c>
      <c r="B25" s="169" t="s">
        <v>84</v>
      </c>
      <c r="C25" s="40" t="s">
        <v>47</v>
      </c>
      <c r="D25" s="37">
        <f>16.86*1.1</f>
        <v>18.545999999999999</v>
      </c>
      <c r="E25" s="521"/>
      <c r="F25" s="60">
        <f t="shared" si="1"/>
        <v>0</v>
      </c>
    </row>
    <row r="26" spans="1:6" ht="51">
      <c r="A26" s="108" t="s">
        <v>63</v>
      </c>
      <c r="B26" s="169" t="s">
        <v>85</v>
      </c>
      <c r="C26" s="40" t="s">
        <v>47</v>
      </c>
      <c r="D26" s="37">
        <f>29.58*1.1</f>
        <v>32.538000000000004</v>
      </c>
      <c r="E26" s="521"/>
      <c r="F26" s="60">
        <f t="shared" si="1"/>
        <v>0</v>
      </c>
    </row>
    <row r="27" spans="1:6" ht="76.5">
      <c r="A27" s="113" t="s">
        <v>64</v>
      </c>
      <c r="B27" s="35" t="s">
        <v>22</v>
      </c>
      <c r="C27" s="40" t="s">
        <v>47</v>
      </c>
      <c r="D27" s="37">
        <v>84.22</v>
      </c>
      <c r="E27" s="521"/>
      <c r="F27" s="60">
        <f t="shared" si="1"/>
        <v>0</v>
      </c>
    </row>
    <row r="28" spans="1:6" ht="38.25">
      <c r="A28" s="108" t="s">
        <v>65</v>
      </c>
      <c r="B28" s="173" t="s">
        <v>86</v>
      </c>
      <c r="C28" s="40" t="s">
        <v>47</v>
      </c>
      <c r="D28" s="37">
        <f>333*0.3*1.1</f>
        <v>109.89</v>
      </c>
      <c r="E28" s="521"/>
      <c r="F28" s="60">
        <f t="shared" si="1"/>
        <v>0</v>
      </c>
    </row>
    <row r="29" spans="1:6" ht="38.25">
      <c r="A29" s="113" t="s">
        <v>66</v>
      </c>
      <c r="B29" s="173" t="s">
        <v>100</v>
      </c>
      <c r="C29" s="40" t="s">
        <v>47</v>
      </c>
      <c r="D29" s="37">
        <f>333*0.25*1.1</f>
        <v>91.575000000000003</v>
      </c>
      <c r="E29" s="521"/>
      <c r="F29" s="60">
        <f t="shared" si="1"/>
        <v>0</v>
      </c>
    </row>
    <row r="30" spans="1:6" ht="25.5">
      <c r="A30" s="108" t="s">
        <v>67</v>
      </c>
      <c r="B30" s="61" t="s">
        <v>45</v>
      </c>
      <c r="C30" s="36" t="s">
        <v>9</v>
      </c>
      <c r="D30" s="37">
        <v>85</v>
      </c>
      <c r="E30" s="521"/>
      <c r="F30" s="60">
        <f t="shared" si="1"/>
        <v>0</v>
      </c>
    </row>
    <row r="31" spans="1:6" ht="38.25">
      <c r="A31" s="113" t="s">
        <v>68</v>
      </c>
      <c r="B31" s="61" t="s">
        <v>193</v>
      </c>
      <c r="C31" s="40" t="s">
        <v>47</v>
      </c>
      <c r="D31" s="37">
        <f>((D9*0.1)+D15+D16+D18+D20-D27)*1.25</f>
        <v>328.80375000000004</v>
      </c>
      <c r="E31" s="521"/>
      <c r="F31" s="60">
        <f t="shared" si="1"/>
        <v>0</v>
      </c>
    </row>
    <row r="32" spans="1:6" ht="25.5">
      <c r="A32" s="108" t="s">
        <v>69</v>
      </c>
      <c r="B32" s="35" t="s">
        <v>23</v>
      </c>
      <c r="C32" s="42" t="s">
        <v>48</v>
      </c>
      <c r="D32" s="37">
        <v>333</v>
      </c>
      <c r="E32" s="521"/>
      <c r="F32" s="60">
        <f t="shared" si="1"/>
        <v>0</v>
      </c>
    </row>
    <row r="33" spans="1:7" s="235" customFormat="1">
      <c r="A33" s="108" t="s">
        <v>70</v>
      </c>
      <c r="B33" s="218" t="s">
        <v>115</v>
      </c>
      <c r="C33" s="42" t="s">
        <v>48</v>
      </c>
      <c r="D33" s="37">
        <f>D32*1.1</f>
        <v>366.3</v>
      </c>
      <c r="E33" s="521"/>
      <c r="F33" s="60">
        <f t="shared" si="1"/>
        <v>0</v>
      </c>
      <c r="G33" s="27"/>
    </row>
    <row r="34" spans="1:7" s="235" customFormat="1" ht="15" thickBot="1">
      <c r="A34" s="108" t="s">
        <v>71</v>
      </c>
      <c r="B34" s="218" t="s">
        <v>156</v>
      </c>
      <c r="C34" s="42" t="s">
        <v>110</v>
      </c>
      <c r="D34" s="37">
        <f>85*2</f>
        <v>170</v>
      </c>
      <c r="E34" s="521"/>
      <c r="F34" s="60">
        <f t="shared" ref="F34" si="2">D34*E34</f>
        <v>0</v>
      </c>
      <c r="G34" s="27"/>
    </row>
    <row r="35" spans="1:7" ht="15" thickBot="1">
      <c r="A35" s="149" t="s">
        <v>36</v>
      </c>
      <c r="B35" s="150" t="s">
        <v>11</v>
      </c>
      <c r="C35" s="63"/>
      <c r="D35" s="64"/>
      <c r="E35" s="94"/>
      <c r="F35" s="151">
        <f>SUM(F15:F34)</f>
        <v>0</v>
      </c>
    </row>
    <row r="36" spans="1:7" ht="15" thickBot="1">
      <c r="A36" s="109"/>
      <c r="B36" s="65"/>
      <c r="C36" s="66"/>
      <c r="D36" s="67"/>
      <c r="E36" s="95"/>
      <c r="F36" s="88"/>
    </row>
    <row r="37" spans="1:7" ht="15" thickBot="1">
      <c r="A37" s="114"/>
      <c r="B37" s="68" t="s">
        <v>37</v>
      </c>
      <c r="C37" s="69"/>
      <c r="D37" s="70"/>
      <c r="E37" s="96"/>
      <c r="F37" s="97"/>
    </row>
    <row r="38" spans="1:7" ht="63.75">
      <c r="A38" s="111"/>
      <c r="B38" s="71" t="s">
        <v>24</v>
      </c>
      <c r="C38" s="32"/>
      <c r="D38" s="33"/>
      <c r="E38" s="86"/>
      <c r="F38" s="34"/>
    </row>
    <row r="39" spans="1:7" ht="76.5">
      <c r="A39" s="112">
        <v>1</v>
      </c>
      <c r="B39" s="61" t="s">
        <v>97</v>
      </c>
      <c r="C39" s="45" t="s">
        <v>9</v>
      </c>
      <c r="D39" s="103">
        <v>90</v>
      </c>
      <c r="E39" s="536"/>
      <c r="F39" s="62">
        <f t="shared" ref="F39:F48" si="3">D39*E39</f>
        <v>0</v>
      </c>
    </row>
    <row r="40" spans="1:7">
      <c r="A40" s="167"/>
      <c r="B40" s="156" t="s">
        <v>155</v>
      </c>
      <c r="C40" s="157" t="s">
        <v>6</v>
      </c>
      <c r="D40" s="103">
        <v>6</v>
      </c>
      <c r="E40" s="536"/>
      <c r="F40" s="62">
        <f t="shared" si="3"/>
        <v>0</v>
      </c>
    </row>
    <row r="41" spans="1:7" ht="191.25">
      <c r="A41" s="159" t="s">
        <v>55</v>
      </c>
      <c r="B41" s="160" t="s">
        <v>99</v>
      </c>
      <c r="C41" s="161"/>
      <c r="D41" s="162"/>
      <c r="E41" s="163"/>
      <c r="F41" s="164"/>
    </row>
    <row r="42" spans="1:7">
      <c r="A42" s="167"/>
      <c r="B42" s="156" t="s">
        <v>30</v>
      </c>
      <c r="C42" s="157" t="s">
        <v>6</v>
      </c>
      <c r="D42" s="158">
        <v>4</v>
      </c>
      <c r="E42" s="543"/>
      <c r="F42" s="168">
        <f t="shared" si="3"/>
        <v>0</v>
      </c>
    </row>
    <row r="43" spans="1:7" ht="51">
      <c r="A43" s="112" t="s">
        <v>56</v>
      </c>
      <c r="B43" s="61" t="s">
        <v>109</v>
      </c>
      <c r="C43" s="36" t="s">
        <v>6</v>
      </c>
      <c r="D43" s="37">
        <v>1</v>
      </c>
      <c r="E43" s="521"/>
      <c r="F43" s="62">
        <f t="shared" si="3"/>
        <v>0</v>
      </c>
    </row>
    <row r="44" spans="1:7" ht="102">
      <c r="A44" s="112" t="s">
        <v>57</v>
      </c>
      <c r="B44" s="35" t="s">
        <v>88</v>
      </c>
      <c r="C44" s="36" t="s">
        <v>6</v>
      </c>
      <c r="D44" s="37">
        <v>1</v>
      </c>
      <c r="E44" s="520"/>
      <c r="F44" s="62">
        <f t="shared" si="3"/>
        <v>0</v>
      </c>
    </row>
    <row r="45" spans="1:7" ht="51">
      <c r="A45" s="112" t="s">
        <v>58</v>
      </c>
      <c r="B45" s="35" t="s">
        <v>89</v>
      </c>
      <c r="C45" s="36" t="s">
        <v>6</v>
      </c>
      <c r="D45" s="37">
        <v>1</v>
      </c>
      <c r="E45" s="520"/>
      <c r="F45" s="62">
        <f t="shared" si="3"/>
        <v>0</v>
      </c>
    </row>
    <row r="46" spans="1:7" ht="38.25">
      <c r="A46" s="112" t="s">
        <v>59</v>
      </c>
      <c r="B46" s="175" t="s">
        <v>90</v>
      </c>
      <c r="C46" s="36" t="s">
        <v>6</v>
      </c>
      <c r="D46" s="176">
        <v>1</v>
      </c>
      <c r="E46" s="545"/>
      <c r="F46" s="62">
        <f t="shared" si="3"/>
        <v>0</v>
      </c>
    </row>
    <row r="47" spans="1:7" ht="89.25">
      <c r="A47" s="112" t="s">
        <v>60</v>
      </c>
      <c r="B47" s="218" t="s">
        <v>81</v>
      </c>
      <c r="C47" s="36" t="s">
        <v>9</v>
      </c>
      <c r="D47" s="37">
        <v>8</v>
      </c>
      <c r="E47" s="520"/>
      <c r="F47" s="62">
        <f t="shared" si="3"/>
        <v>0</v>
      </c>
    </row>
    <row r="48" spans="1:7" ht="15" thickBot="1">
      <c r="A48" s="165"/>
      <c r="B48" s="153" t="s">
        <v>113</v>
      </c>
      <c r="C48" s="154" t="s">
        <v>6</v>
      </c>
      <c r="D48" s="155">
        <v>1</v>
      </c>
      <c r="E48" s="537"/>
      <c r="F48" s="166">
        <f t="shared" si="3"/>
        <v>0</v>
      </c>
    </row>
    <row r="49" spans="1:45" ht="15" thickBot="1">
      <c r="A49" s="146" t="s">
        <v>38</v>
      </c>
      <c r="B49" s="148" t="s">
        <v>26</v>
      </c>
      <c r="C49" s="72"/>
      <c r="D49" s="73"/>
      <c r="E49" s="98"/>
      <c r="F49" s="147">
        <f>SUM(F39:F48)</f>
        <v>0</v>
      </c>
    </row>
    <row r="50" spans="1:45" ht="15" thickBot="1">
      <c r="A50" s="109"/>
      <c r="B50" s="50"/>
      <c r="C50" s="51"/>
      <c r="D50" s="52"/>
      <c r="E50" s="88"/>
      <c r="F50" s="88"/>
    </row>
    <row r="51" spans="1:45" ht="15" thickBot="1">
      <c r="A51" s="110"/>
      <c r="B51" s="74" t="s">
        <v>39</v>
      </c>
      <c r="C51" s="75"/>
      <c r="D51" s="76"/>
      <c r="E51" s="99"/>
      <c r="F51" s="100"/>
    </row>
    <row r="52" spans="1:45" ht="63.75">
      <c r="A52" s="107"/>
      <c r="B52" s="56" t="s">
        <v>8</v>
      </c>
      <c r="C52" s="57"/>
      <c r="D52" s="58"/>
      <c r="E52" s="92"/>
      <c r="F52" s="93"/>
    </row>
    <row r="53" spans="1:45" ht="25.5">
      <c r="A53" s="108" t="s">
        <v>54</v>
      </c>
      <c r="B53" s="77" t="s">
        <v>42</v>
      </c>
      <c r="C53" s="42" t="s">
        <v>9</v>
      </c>
      <c r="D53" s="104">
        <v>85</v>
      </c>
      <c r="E53" s="538"/>
      <c r="F53" s="38">
        <f t="shared" ref="F53:F59" si="4">D53*E53</f>
        <v>0</v>
      </c>
    </row>
    <row r="54" spans="1:45" ht="25.5">
      <c r="A54" s="108" t="s">
        <v>55</v>
      </c>
      <c r="B54" s="77" t="s">
        <v>104</v>
      </c>
      <c r="C54" s="42" t="s">
        <v>9</v>
      </c>
      <c r="D54" s="104">
        <v>85</v>
      </c>
      <c r="E54" s="538"/>
      <c r="F54" s="38">
        <f>D54*E54</f>
        <v>0</v>
      </c>
    </row>
    <row r="55" spans="1:45">
      <c r="A55" s="108" t="s">
        <v>56</v>
      </c>
      <c r="B55" s="77" t="s">
        <v>105</v>
      </c>
      <c r="C55" s="42" t="s">
        <v>9</v>
      </c>
      <c r="D55" s="104">
        <v>85</v>
      </c>
      <c r="E55" s="538"/>
      <c r="F55" s="38">
        <f>D55*E55</f>
        <v>0</v>
      </c>
    </row>
    <row r="56" spans="1:45" ht="25.5">
      <c r="A56" s="108" t="s">
        <v>57</v>
      </c>
      <c r="B56" s="228" t="s">
        <v>116</v>
      </c>
      <c r="C56" s="36" t="s">
        <v>48</v>
      </c>
      <c r="D56" s="37">
        <v>245</v>
      </c>
      <c r="E56" s="539"/>
      <c r="F56" s="38">
        <f>D56*E56</f>
        <v>0</v>
      </c>
    </row>
    <row r="57" spans="1:45" ht="25.5">
      <c r="A57" s="112" t="s">
        <v>58</v>
      </c>
      <c r="B57" s="174" t="s">
        <v>117</v>
      </c>
      <c r="C57" s="36" t="s">
        <v>48</v>
      </c>
      <c r="D57" s="37">
        <v>245</v>
      </c>
      <c r="E57" s="539"/>
      <c r="F57" s="38">
        <f t="shared" si="4"/>
        <v>0</v>
      </c>
    </row>
    <row r="58" spans="1:45" ht="25.5">
      <c r="A58" s="108" t="s">
        <v>59</v>
      </c>
      <c r="B58" s="39" t="s">
        <v>93</v>
      </c>
      <c r="C58" s="36" t="s">
        <v>47</v>
      </c>
      <c r="D58" s="37">
        <v>5</v>
      </c>
      <c r="E58" s="521"/>
      <c r="F58" s="38">
        <f t="shared" si="4"/>
        <v>0</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row>
    <row r="59" spans="1:45" ht="51">
      <c r="A59" s="108" t="s">
        <v>60</v>
      </c>
      <c r="B59" s="39" t="s">
        <v>21</v>
      </c>
      <c r="C59" s="36" t="s">
        <v>6</v>
      </c>
      <c r="D59" s="37">
        <v>2</v>
      </c>
      <c r="E59" s="521"/>
      <c r="F59" s="38">
        <f t="shared" si="4"/>
        <v>0</v>
      </c>
    </row>
    <row r="60" spans="1:45" s="192" customFormat="1" ht="51.75" thickBot="1">
      <c r="A60" s="108" t="s">
        <v>61</v>
      </c>
      <c r="B60" s="39" t="s">
        <v>95</v>
      </c>
      <c r="C60" s="36" t="s">
        <v>6</v>
      </c>
      <c r="D60" s="37">
        <v>1</v>
      </c>
      <c r="E60" s="521"/>
      <c r="F60" s="38">
        <f>D60*E60</f>
        <v>0</v>
      </c>
      <c r="G60" s="80"/>
    </row>
    <row r="61" spans="1:45" ht="15" thickBot="1">
      <c r="A61" s="143" t="s">
        <v>40</v>
      </c>
      <c r="B61" s="144" t="s">
        <v>10</v>
      </c>
      <c r="C61" s="78"/>
      <c r="D61" s="79"/>
      <c r="E61" s="101"/>
      <c r="F61" s="145">
        <f>SUM(F53:F60)</f>
        <v>0</v>
      </c>
    </row>
    <row r="62" spans="1:45" ht="15" thickBot="1"/>
    <row r="63" spans="1:45" ht="15" thickBot="1">
      <c r="A63" s="211"/>
      <c r="B63" s="212" t="s">
        <v>154</v>
      </c>
      <c r="C63" s="213"/>
      <c r="D63" s="214"/>
      <c r="E63" s="215"/>
      <c r="F63" s="216">
        <f>F10+F35+F49+F61</f>
        <v>0</v>
      </c>
    </row>
  </sheetData>
  <sheetProtection algorithmName="SHA-512" hashValue="XtXQEM/yqpx9PCnNecGm5wbeZefyAUFeBd8jUqQIJb+2EfHBuDQj7vgBqilX3ZnEANrvb/lPxc3Qqe24tiHzDA==" saltValue="zm38RXSiCgbq2cjVsi6J4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36" max="16383" man="1"/>
  </rowBreaks>
  <ignoredErrors>
    <ignoredError sqref="A6:A9 A15:A34 A41:A47 A53:A6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S77"/>
  <sheetViews>
    <sheetView view="pageBreakPreview" topLeftCell="A53" zoomScale="55" zoomScaleNormal="100" zoomScaleSheetLayoutView="55" workbookViewId="0">
      <selection activeCell="F67" sqref="F67"/>
    </sheetView>
  </sheetViews>
  <sheetFormatPr defaultRowHeight="14.25"/>
  <cols>
    <col min="1" max="1" width="4.85546875" style="115" bestFit="1" customWidth="1"/>
    <col min="2" max="2" width="45.42578125" style="80" customWidth="1"/>
    <col min="3" max="3" width="6.5703125" style="81" bestFit="1" customWidth="1"/>
    <col min="4" max="4" width="8.7109375" style="82" customWidth="1"/>
    <col min="5" max="5" width="10.7109375" style="102" customWidth="1"/>
    <col min="6" max="6" width="12.7109375" style="102" customWidth="1"/>
    <col min="7" max="7" width="9.140625" style="27"/>
    <col min="8" max="16384" width="9.140625" style="24"/>
  </cols>
  <sheetData>
    <row r="1" spans="1:6" s="225" customFormat="1" ht="18">
      <c r="A1" s="243" t="s">
        <v>138</v>
      </c>
      <c r="B1" s="221" t="s">
        <v>169</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546"/>
      <c r="F4" s="85"/>
    </row>
    <row r="5" spans="1:6" ht="25.5">
      <c r="A5" s="219">
        <v>1</v>
      </c>
      <c r="B5" s="35" t="s">
        <v>46</v>
      </c>
      <c r="C5" s="36" t="s">
        <v>9</v>
      </c>
      <c r="D5" s="37">
        <v>195</v>
      </c>
      <c r="E5" s="521"/>
      <c r="F5" s="38">
        <f t="shared" ref="F5:F11" si="0">D5*E5</f>
        <v>0</v>
      </c>
    </row>
    <row r="6" spans="1:6" ht="25.5">
      <c r="A6" s="108" t="s">
        <v>55</v>
      </c>
      <c r="B6" s="39" t="s">
        <v>28</v>
      </c>
      <c r="C6" s="36" t="s">
        <v>6</v>
      </c>
      <c r="D6" s="37">
        <f>1+8+2</f>
        <v>11</v>
      </c>
      <c r="E6" s="521"/>
      <c r="F6" s="38">
        <f t="shared" si="0"/>
        <v>0</v>
      </c>
    </row>
    <row r="7" spans="1:6">
      <c r="A7" s="249">
        <v>3</v>
      </c>
      <c r="B7" s="218" t="s">
        <v>172</v>
      </c>
      <c r="C7" s="42" t="s">
        <v>48</v>
      </c>
      <c r="D7" s="37">
        <f>40*5</f>
        <v>200</v>
      </c>
      <c r="E7" s="521"/>
      <c r="F7" s="38">
        <f t="shared" si="0"/>
        <v>0</v>
      </c>
    </row>
    <row r="8" spans="1:6">
      <c r="A8" s="107" t="s">
        <v>57</v>
      </c>
      <c r="B8" s="218" t="s">
        <v>173</v>
      </c>
      <c r="C8" s="57" t="s">
        <v>6</v>
      </c>
      <c r="D8" s="37">
        <v>3</v>
      </c>
      <c r="E8" s="521"/>
      <c r="F8" s="38">
        <f t="shared" si="0"/>
        <v>0</v>
      </c>
    </row>
    <row r="9" spans="1:6" ht="38.25">
      <c r="A9" s="108" t="s">
        <v>58</v>
      </c>
      <c r="B9" s="41" t="s">
        <v>121</v>
      </c>
      <c r="C9" s="36" t="s">
        <v>9</v>
      </c>
      <c r="D9" s="37">
        <v>10</v>
      </c>
      <c r="E9" s="521"/>
      <c r="F9" s="38">
        <f t="shared" si="0"/>
        <v>0</v>
      </c>
    </row>
    <row r="10" spans="1:6">
      <c r="A10" s="108" t="s">
        <v>59</v>
      </c>
      <c r="B10" s="248" t="s">
        <v>171</v>
      </c>
      <c r="C10" s="36" t="s">
        <v>9</v>
      </c>
      <c r="D10" s="37">
        <v>130</v>
      </c>
      <c r="E10" s="521"/>
      <c r="F10" s="38">
        <f t="shared" ref="F10" si="1">D10*E10</f>
        <v>0</v>
      </c>
    </row>
    <row r="11" spans="1:6" ht="38.25">
      <c r="A11" s="107" t="s">
        <v>60</v>
      </c>
      <c r="B11" s="35" t="s">
        <v>53</v>
      </c>
      <c r="C11" s="42" t="s">
        <v>48</v>
      </c>
      <c r="D11" s="37">
        <v>10</v>
      </c>
      <c r="E11" s="521"/>
      <c r="F11" s="38">
        <f t="shared" si="0"/>
        <v>0</v>
      </c>
    </row>
    <row r="12" spans="1:6" ht="39" thickBot="1">
      <c r="A12" s="107" t="s">
        <v>61</v>
      </c>
      <c r="B12" s="35" t="s">
        <v>83</v>
      </c>
      <c r="C12" s="40" t="s">
        <v>47</v>
      </c>
      <c r="D12" s="37">
        <f>130*0.15+5</f>
        <v>24.5</v>
      </c>
      <c r="E12" s="521"/>
      <c r="F12" s="38">
        <f t="shared" ref="F12" si="2">D12*E12</f>
        <v>0</v>
      </c>
    </row>
    <row r="13" spans="1:6" ht="15" thickBot="1">
      <c r="A13" s="140" t="s">
        <v>34</v>
      </c>
      <c r="B13" s="47" t="s">
        <v>12</v>
      </c>
      <c r="C13" s="48"/>
      <c r="D13" s="49"/>
      <c r="E13" s="87"/>
      <c r="F13" s="141">
        <f>SUM(F5:F12)</f>
        <v>0</v>
      </c>
    </row>
    <row r="14" spans="1:6" ht="15" thickBot="1">
      <c r="A14" s="109"/>
      <c r="B14" s="50"/>
      <c r="C14" s="51"/>
      <c r="D14" s="52"/>
      <c r="E14" s="88"/>
      <c r="F14" s="89"/>
    </row>
    <row r="15" spans="1:6" ht="15" thickBot="1">
      <c r="A15" s="110"/>
      <c r="B15" s="53" t="s">
        <v>35</v>
      </c>
      <c r="C15" s="54"/>
      <c r="D15" s="55"/>
      <c r="E15" s="90"/>
      <c r="F15" s="91"/>
    </row>
    <row r="16" spans="1:6" ht="63.75">
      <c r="A16" s="111"/>
      <c r="B16" s="56" t="s">
        <v>52</v>
      </c>
      <c r="C16" s="57"/>
      <c r="D16" s="58"/>
      <c r="E16" s="92"/>
      <c r="F16" s="93"/>
    </row>
    <row r="17" spans="1:6" ht="38.25">
      <c r="A17" s="107"/>
      <c r="B17" s="59" t="s">
        <v>25</v>
      </c>
      <c r="C17" s="36"/>
      <c r="D17" s="37"/>
      <c r="E17" s="44"/>
      <c r="F17" s="38"/>
    </row>
    <row r="18" spans="1:6" ht="38.25">
      <c r="A18" s="108" t="s">
        <v>54</v>
      </c>
      <c r="B18" s="35" t="s">
        <v>72</v>
      </c>
      <c r="C18" s="40" t="s">
        <v>47</v>
      </c>
      <c r="D18" s="37">
        <f>76*3*0.2</f>
        <v>45.6</v>
      </c>
      <c r="E18" s="521"/>
      <c r="F18" s="38">
        <f>D18*E18</f>
        <v>0</v>
      </c>
    </row>
    <row r="19" spans="1:6" ht="38.25">
      <c r="A19" s="108" t="s">
        <v>55</v>
      </c>
      <c r="B19" s="169" t="s">
        <v>101</v>
      </c>
      <c r="C19" s="40" t="s">
        <v>47</v>
      </c>
      <c r="D19" s="37">
        <f>(60+15)*2*0.3</f>
        <v>45</v>
      </c>
      <c r="E19" s="521"/>
      <c r="F19" s="38">
        <f>D19*E19</f>
        <v>0</v>
      </c>
    </row>
    <row r="20" spans="1:6" ht="25.5">
      <c r="A20" s="108" t="s">
        <v>56</v>
      </c>
      <c r="B20" s="35" t="s">
        <v>43</v>
      </c>
      <c r="C20" s="40" t="s">
        <v>47</v>
      </c>
      <c r="D20" s="37">
        <v>10</v>
      </c>
      <c r="E20" s="521"/>
      <c r="F20" s="38">
        <f>D20*E20</f>
        <v>0</v>
      </c>
    </row>
    <row r="21" spans="1:6" ht="51">
      <c r="A21" s="152" t="s">
        <v>57</v>
      </c>
      <c r="B21" s="178" t="s">
        <v>78</v>
      </c>
      <c r="C21" s="179"/>
      <c r="D21" s="180"/>
      <c r="E21" s="181"/>
      <c r="F21" s="182"/>
    </row>
    <row r="22" spans="1:6">
      <c r="A22" s="187"/>
      <c r="B22" s="188" t="s">
        <v>77</v>
      </c>
      <c r="C22" s="189" t="s">
        <v>47</v>
      </c>
      <c r="D22" s="190">
        <f>126.45*0.9</f>
        <v>113.80500000000001</v>
      </c>
      <c r="E22" s="535"/>
      <c r="F22" s="191">
        <f>D22*E22</f>
        <v>0</v>
      </c>
    </row>
    <row r="23" spans="1:6" ht="38.25">
      <c r="A23" s="152" t="s">
        <v>58</v>
      </c>
      <c r="B23" s="178" t="s">
        <v>108</v>
      </c>
      <c r="C23" s="179"/>
      <c r="D23" s="180"/>
      <c r="E23" s="181"/>
      <c r="F23" s="182"/>
    </row>
    <row r="24" spans="1:6">
      <c r="A24" s="187"/>
      <c r="B24" s="188" t="s">
        <v>77</v>
      </c>
      <c r="C24" s="189" t="s">
        <v>47</v>
      </c>
      <c r="D24" s="190">
        <f>427.77*0.9</f>
        <v>384.99299999999999</v>
      </c>
      <c r="E24" s="535"/>
      <c r="F24" s="191">
        <f>D24*E24</f>
        <v>0</v>
      </c>
    </row>
    <row r="25" spans="1:6">
      <c r="A25" s="107"/>
      <c r="B25" s="183" t="s">
        <v>76</v>
      </c>
      <c r="C25" s="184" t="s">
        <v>47</v>
      </c>
      <c r="D25" s="185">
        <v>27</v>
      </c>
      <c r="E25" s="541"/>
      <c r="F25" s="186">
        <f>D25*E25</f>
        <v>0</v>
      </c>
    </row>
    <row r="26" spans="1:6" ht="38.25">
      <c r="A26" s="113" t="s">
        <v>59</v>
      </c>
      <c r="B26" s="178" t="s">
        <v>79</v>
      </c>
      <c r="C26" s="40" t="s">
        <v>47</v>
      </c>
      <c r="D26" s="190">
        <f>554.22*0.1</f>
        <v>55.422000000000004</v>
      </c>
      <c r="E26" s="542"/>
      <c r="F26" s="60">
        <f>D26*E26</f>
        <v>0</v>
      </c>
    </row>
    <row r="27" spans="1:6" ht="38.25">
      <c r="A27" s="113" t="s">
        <v>60</v>
      </c>
      <c r="B27" s="218" t="s">
        <v>29</v>
      </c>
      <c r="C27" s="40" t="s">
        <v>48</v>
      </c>
      <c r="D27" s="37">
        <f>60*2*1.5</f>
        <v>180</v>
      </c>
      <c r="E27" s="520"/>
      <c r="F27" s="60">
        <f t="shared" ref="F27:F43" si="3">D27*E27</f>
        <v>0</v>
      </c>
    </row>
    <row r="28" spans="1:6" ht="63.75">
      <c r="A28" s="113" t="s">
        <v>61</v>
      </c>
      <c r="B28" s="35" t="s">
        <v>73</v>
      </c>
      <c r="C28" s="40" t="s">
        <v>6</v>
      </c>
      <c r="D28" s="37">
        <v>5</v>
      </c>
      <c r="E28" s="520"/>
      <c r="F28" s="60">
        <f t="shared" si="3"/>
        <v>0</v>
      </c>
    </row>
    <row r="29" spans="1:6" ht="38.25">
      <c r="A29" s="108" t="s">
        <v>62</v>
      </c>
      <c r="B29" s="218" t="s">
        <v>44</v>
      </c>
      <c r="C29" s="42" t="s">
        <v>48</v>
      </c>
      <c r="D29" s="37">
        <f>60*0.9+135*0.8</f>
        <v>162</v>
      </c>
      <c r="E29" s="521"/>
      <c r="F29" s="60">
        <f t="shared" si="3"/>
        <v>0</v>
      </c>
    </row>
    <row r="30" spans="1:6" ht="51">
      <c r="A30" s="113" t="s">
        <v>63</v>
      </c>
      <c r="B30" s="169" t="s">
        <v>84</v>
      </c>
      <c r="C30" s="40" t="s">
        <v>47</v>
      </c>
      <c r="D30" s="37">
        <f>31.44*1.1</f>
        <v>34.584000000000003</v>
      </c>
      <c r="E30" s="521"/>
      <c r="F30" s="60">
        <f t="shared" si="3"/>
        <v>0</v>
      </c>
    </row>
    <row r="31" spans="1:6" ht="63.75">
      <c r="A31" s="108" t="s">
        <v>64</v>
      </c>
      <c r="B31" s="169" t="s">
        <v>85</v>
      </c>
      <c r="C31" s="40" t="s">
        <v>47</v>
      </c>
      <c r="D31" s="37">
        <f>64.18*1.1</f>
        <v>70.598000000000013</v>
      </c>
      <c r="E31" s="521"/>
      <c r="F31" s="60">
        <f t="shared" si="3"/>
        <v>0</v>
      </c>
    </row>
    <row r="32" spans="1:6" ht="89.25">
      <c r="A32" s="113" t="s">
        <v>65</v>
      </c>
      <c r="B32" s="35" t="s">
        <v>22</v>
      </c>
      <c r="C32" s="40" t="s">
        <v>47</v>
      </c>
      <c r="D32" s="37">
        <v>490.28</v>
      </c>
      <c r="E32" s="521"/>
      <c r="F32" s="60">
        <f t="shared" si="3"/>
        <v>0</v>
      </c>
    </row>
    <row r="33" spans="1:7" ht="38.25">
      <c r="A33" s="108" t="s">
        <v>66</v>
      </c>
      <c r="B33" s="173" t="s">
        <v>86</v>
      </c>
      <c r="C33" s="40" t="s">
        <v>47</v>
      </c>
      <c r="D33" s="37">
        <f>130*0.3*1.1</f>
        <v>42.900000000000006</v>
      </c>
      <c r="E33" s="521"/>
      <c r="F33" s="60">
        <f t="shared" si="3"/>
        <v>0</v>
      </c>
    </row>
    <row r="34" spans="1:7" ht="38.25">
      <c r="A34" s="113" t="s">
        <v>67</v>
      </c>
      <c r="B34" s="173" t="s">
        <v>100</v>
      </c>
      <c r="C34" s="40" t="s">
        <v>47</v>
      </c>
      <c r="D34" s="37">
        <f>130*0.25*1.1</f>
        <v>35.75</v>
      </c>
      <c r="E34" s="521"/>
      <c r="F34" s="60">
        <f t="shared" si="3"/>
        <v>0</v>
      </c>
    </row>
    <row r="35" spans="1:7" ht="38.25">
      <c r="A35" s="113" t="s">
        <v>68</v>
      </c>
      <c r="B35" s="173" t="s">
        <v>168</v>
      </c>
      <c r="C35" s="40" t="s">
        <v>47</v>
      </c>
      <c r="D35" s="37">
        <f>15*2*0.3*1.1</f>
        <v>9.9</v>
      </c>
      <c r="E35" s="521"/>
      <c r="F35" s="60">
        <f t="shared" si="3"/>
        <v>0</v>
      </c>
    </row>
    <row r="36" spans="1:7" ht="38.25">
      <c r="A36" s="108" t="s">
        <v>69</v>
      </c>
      <c r="B36" s="61" t="s">
        <v>45</v>
      </c>
      <c r="C36" s="36" t="s">
        <v>9</v>
      </c>
      <c r="D36" s="37">
        <v>195</v>
      </c>
      <c r="E36" s="521"/>
      <c r="F36" s="60">
        <f t="shared" si="3"/>
        <v>0</v>
      </c>
    </row>
    <row r="37" spans="1:7" ht="38.25">
      <c r="A37" s="113" t="s">
        <v>70</v>
      </c>
      <c r="B37" s="61" t="s">
        <v>174</v>
      </c>
      <c r="C37" s="40" t="s">
        <v>47</v>
      </c>
      <c r="D37" s="37">
        <f>((D11*0.1)+D22+D19+D24+D20+D25-D32)*1.25</f>
        <v>114.39750000000004</v>
      </c>
      <c r="E37" s="521"/>
      <c r="F37" s="60">
        <f t="shared" si="3"/>
        <v>0</v>
      </c>
    </row>
    <row r="38" spans="1:7" ht="38.25">
      <c r="A38" s="108" t="s">
        <v>71</v>
      </c>
      <c r="B38" s="35" t="s">
        <v>23</v>
      </c>
      <c r="C38" s="42" t="s">
        <v>48</v>
      </c>
      <c r="D38" s="37">
        <v>130</v>
      </c>
      <c r="E38" s="521"/>
      <c r="F38" s="60">
        <f t="shared" si="3"/>
        <v>0</v>
      </c>
    </row>
    <row r="39" spans="1:7">
      <c r="A39" s="108" t="s">
        <v>80</v>
      </c>
      <c r="B39" s="35" t="s">
        <v>175</v>
      </c>
      <c r="C39" s="42" t="s">
        <v>48</v>
      </c>
      <c r="D39" s="37">
        <f>15*2</f>
        <v>30</v>
      </c>
      <c r="E39" s="521"/>
      <c r="F39" s="60">
        <f t="shared" ref="F39" si="4">D39*E39</f>
        <v>0</v>
      </c>
    </row>
    <row r="40" spans="1:7" s="235" customFormat="1">
      <c r="A40" s="108" t="s">
        <v>102</v>
      </c>
      <c r="B40" s="218" t="s">
        <v>115</v>
      </c>
      <c r="C40" s="42" t="s">
        <v>48</v>
      </c>
      <c r="D40" s="37">
        <f>D38*1.1</f>
        <v>143</v>
      </c>
      <c r="E40" s="521"/>
      <c r="F40" s="60">
        <f t="shared" si="3"/>
        <v>0</v>
      </c>
      <c r="G40" s="27"/>
    </row>
    <row r="41" spans="1:7" ht="38.25">
      <c r="A41" s="113" t="s">
        <v>111</v>
      </c>
      <c r="B41" s="61" t="s">
        <v>87</v>
      </c>
      <c r="C41" s="40" t="s">
        <v>47</v>
      </c>
      <c r="D41" s="37">
        <f>D18</f>
        <v>45.6</v>
      </c>
      <c r="E41" s="521"/>
      <c r="F41" s="60">
        <f t="shared" si="3"/>
        <v>0</v>
      </c>
    </row>
    <row r="42" spans="1:7" ht="25.5">
      <c r="A42" s="113" t="s">
        <v>495</v>
      </c>
      <c r="B42" s="220" t="s">
        <v>74</v>
      </c>
      <c r="C42" s="40" t="s">
        <v>48</v>
      </c>
      <c r="D42" s="37">
        <f>D41/0.2</f>
        <v>228</v>
      </c>
      <c r="E42" s="521"/>
      <c r="F42" s="60">
        <f t="shared" si="3"/>
        <v>0</v>
      </c>
    </row>
    <row r="43" spans="1:7" s="235" customFormat="1" ht="15" thickBot="1">
      <c r="A43" s="108" t="s">
        <v>55</v>
      </c>
      <c r="B43" s="218" t="s">
        <v>496</v>
      </c>
      <c r="C43" s="42" t="s">
        <v>110</v>
      </c>
      <c r="D43" s="37">
        <v>80</v>
      </c>
      <c r="E43" s="521"/>
      <c r="F43" s="60">
        <f t="shared" si="3"/>
        <v>0</v>
      </c>
      <c r="G43" s="27"/>
    </row>
    <row r="44" spans="1:7" ht="15" thickBot="1">
      <c r="A44" s="149" t="s">
        <v>36</v>
      </c>
      <c r="B44" s="150" t="s">
        <v>11</v>
      </c>
      <c r="C44" s="63"/>
      <c r="D44" s="64"/>
      <c r="E44" s="94"/>
      <c r="F44" s="151">
        <f>SUM(F18:F43)</f>
        <v>0</v>
      </c>
    </row>
    <row r="45" spans="1:7" ht="15" thickBot="1">
      <c r="A45" s="109"/>
      <c r="B45" s="65"/>
      <c r="C45" s="66"/>
      <c r="D45" s="67"/>
      <c r="E45" s="95"/>
      <c r="F45" s="88"/>
    </row>
    <row r="46" spans="1:7" ht="15" thickBot="1">
      <c r="A46" s="114"/>
      <c r="B46" s="68" t="s">
        <v>37</v>
      </c>
      <c r="C46" s="69"/>
      <c r="D46" s="70"/>
      <c r="E46" s="96"/>
      <c r="F46" s="97"/>
    </row>
    <row r="47" spans="1:7" ht="63.75">
      <c r="A47" s="111"/>
      <c r="B47" s="71" t="s">
        <v>24</v>
      </c>
      <c r="C47" s="32"/>
      <c r="D47" s="33"/>
      <c r="E47" s="86"/>
      <c r="F47" s="34"/>
    </row>
    <row r="48" spans="1:7" ht="76.5">
      <c r="A48" s="112">
        <v>1</v>
      </c>
      <c r="B48" s="61" t="s">
        <v>97</v>
      </c>
      <c r="C48" s="45" t="s">
        <v>9</v>
      </c>
      <c r="D48" s="103">
        <v>200</v>
      </c>
      <c r="E48" s="536"/>
      <c r="F48" s="62">
        <f t="shared" ref="F48:F51" si="5">D48*E48</f>
        <v>0</v>
      </c>
    </row>
    <row r="49" spans="1:6">
      <c r="A49" s="167"/>
      <c r="B49" s="156" t="s">
        <v>151</v>
      </c>
      <c r="C49" s="157" t="s">
        <v>6</v>
      </c>
      <c r="D49" s="103">
        <v>4</v>
      </c>
      <c r="E49" s="536"/>
      <c r="F49" s="62">
        <f t="shared" si="5"/>
        <v>0</v>
      </c>
    </row>
    <row r="50" spans="1:6">
      <c r="A50" s="167"/>
      <c r="B50" s="156" t="s">
        <v>155</v>
      </c>
      <c r="C50" s="157" t="s">
        <v>6</v>
      </c>
      <c r="D50" s="103">
        <v>8</v>
      </c>
      <c r="E50" s="536"/>
      <c r="F50" s="62">
        <f t="shared" ref="F50" si="6">D50*E50</f>
        <v>0</v>
      </c>
    </row>
    <row r="51" spans="1:6">
      <c r="A51" s="112"/>
      <c r="B51" s="220" t="s">
        <v>152</v>
      </c>
      <c r="C51" s="45" t="s">
        <v>6</v>
      </c>
      <c r="D51" s="103">
        <v>1</v>
      </c>
      <c r="E51" s="536"/>
      <c r="F51" s="62">
        <f t="shared" si="5"/>
        <v>0</v>
      </c>
    </row>
    <row r="52" spans="1:6" ht="191.25">
      <c r="A52" s="159" t="s">
        <v>55</v>
      </c>
      <c r="B52" s="244" t="s">
        <v>99</v>
      </c>
      <c r="C52" s="161"/>
      <c r="D52" s="162"/>
      <c r="E52" s="163"/>
      <c r="F52" s="164"/>
    </row>
    <row r="53" spans="1:6">
      <c r="A53" s="167"/>
      <c r="B53" s="156" t="s">
        <v>30</v>
      </c>
      <c r="C53" s="157" t="s">
        <v>6</v>
      </c>
      <c r="D53" s="158">
        <v>8</v>
      </c>
      <c r="E53" s="543"/>
      <c r="F53" s="168">
        <f t="shared" ref="F53:F59" si="7">D53*E53</f>
        <v>0</v>
      </c>
    </row>
    <row r="54" spans="1:6" ht="51">
      <c r="A54" s="112" t="s">
        <v>56</v>
      </c>
      <c r="B54" s="61" t="s">
        <v>109</v>
      </c>
      <c r="C54" s="36" t="s">
        <v>6</v>
      </c>
      <c r="D54" s="37">
        <v>1</v>
      </c>
      <c r="E54" s="521"/>
      <c r="F54" s="62">
        <f t="shared" si="7"/>
        <v>0</v>
      </c>
    </row>
    <row r="55" spans="1:6" ht="102">
      <c r="A55" s="112" t="s">
        <v>57</v>
      </c>
      <c r="B55" s="218" t="s">
        <v>88</v>
      </c>
      <c r="C55" s="36" t="s">
        <v>6</v>
      </c>
      <c r="D55" s="37">
        <v>2</v>
      </c>
      <c r="E55" s="520"/>
      <c r="F55" s="62">
        <f t="shared" si="7"/>
        <v>0</v>
      </c>
    </row>
    <row r="56" spans="1:6" ht="51">
      <c r="A56" s="112" t="s">
        <v>58</v>
      </c>
      <c r="B56" s="35" t="s">
        <v>89</v>
      </c>
      <c r="C56" s="36" t="s">
        <v>6</v>
      </c>
      <c r="D56" s="37">
        <v>2</v>
      </c>
      <c r="E56" s="520"/>
      <c r="F56" s="62">
        <f t="shared" si="7"/>
        <v>0</v>
      </c>
    </row>
    <row r="57" spans="1:6" ht="38.25">
      <c r="A57" s="112" t="s">
        <v>59</v>
      </c>
      <c r="B57" s="175" t="s">
        <v>90</v>
      </c>
      <c r="C57" s="36" t="s">
        <v>6</v>
      </c>
      <c r="D57" s="176">
        <v>1</v>
      </c>
      <c r="E57" s="545"/>
      <c r="F57" s="62">
        <f t="shared" si="7"/>
        <v>0</v>
      </c>
    </row>
    <row r="58" spans="1:6" ht="89.25">
      <c r="A58" s="112" t="s">
        <v>60</v>
      </c>
      <c r="B58" s="218" t="s">
        <v>81</v>
      </c>
      <c r="C58" s="36" t="s">
        <v>9</v>
      </c>
      <c r="D58" s="37">
        <v>16</v>
      </c>
      <c r="E58" s="520"/>
      <c r="F58" s="62">
        <f t="shared" si="7"/>
        <v>0</v>
      </c>
    </row>
    <row r="59" spans="1:6" ht="15" thickBot="1">
      <c r="A59" s="165"/>
      <c r="B59" s="153" t="s">
        <v>113</v>
      </c>
      <c r="C59" s="154" t="s">
        <v>6</v>
      </c>
      <c r="D59" s="155">
        <v>2</v>
      </c>
      <c r="E59" s="537"/>
      <c r="F59" s="166">
        <f t="shared" si="7"/>
        <v>0</v>
      </c>
    </row>
    <row r="60" spans="1:6" ht="15" thickBot="1">
      <c r="A60" s="146" t="s">
        <v>38</v>
      </c>
      <c r="B60" s="148" t="s">
        <v>26</v>
      </c>
      <c r="C60" s="72"/>
      <c r="D60" s="73"/>
      <c r="E60" s="98"/>
      <c r="F60" s="147">
        <f>SUM(F48:F59)</f>
        <v>0</v>
      </c>
    </row>
    <row r="61" spans="1:6" ht="15" thickBot="1">
      <c r="A61" s="109"/>
      <c r="B61" s="50"/>
      <c r="C61" s="51"/>
      <c r="D61" s="52"/>
      <c r="E61" s="88"/>
      <c r="F61" s="88"/>
    </row>
    <row r="62" spans="1:6" ht="15" thickBot="1">
      <c r="A62" s="110"/>
      <c r="B62" s="74" t="s">
        <v>39</v>
      </c>
      <c r="C62" s="75"/>
      <c r="D62" s="76"/>
      <c r="E62" s="99"/>
      <c r="F62" s="100"/>
    </row>
    <row r="63" spans="1:6" ht="76.5">
      <c r="A63" s="107"/>
      <c r="B63" s="56" t="s">
        <v>8</v>
      </c>
      <c r="C63" s="57"/>
      <c r="D63" s="58"/>
      <c r="E63" s="92"/>
      <c r="F63" s="93"/>
    </row>
    <row r="64" spans="1:6" ht="25.5">
      <c r="A64" s="108" t="s">
        <v>54</v>
      </c>
      <c r="B64" s="77" t="s">
        <v>42</v>
      </c>
      <c r="C64" s="42" t="s">
        <v>9</v>
      </c>
      <c r="D64" s="104">
        <v>195</v>
      </c>
      <c r="E64" s="538"/>
      <c r="F64" s="38">
        <f t="shared" ref="F64:F72" si="8">D64*E64</f>
        <v>0</v>
      </c>
    </row>
    <row r="65" spans="1:45" ht="25.5">
      <c r="A65" s="108" t="s">
        <v>55</v>
      </c>
      <c r="B65" s="77" t="s">
        <v>104</v>
      </c>
      <c r="C65" s="42" t="s">
        <v>9</v>
      </c>
      <c r="D65" s="104">
        <v>195</v>
      </c>
      <c r="E65" s="538"/>
      <c r="F65" s="38">
        <f>D65*E65</f>
        <v>0</v>
      </c>
    </row>
    <row r="66" spans="1:45">
      <c r="A66" s="108" t="s">
        <v>56</v>
      </c>
      <c r="B66" s="77" t="s">
        <v>105</v>
      </c>
      <c r="C66" s="42" t="s">
        <v>9</v>
      </c>
      <c r="D66" s="104">
        <v>195</v>
      </c>
      <c r="E66" s="538"/>
      <c r="F66" s="38">
        <f>D66*E66</f>
        <v>0</v>
      </c>
    </row>
    <row r="67" spans="1:45" ht="25.5">
      <c r="A67" s="108" t="s">
        <v>57</v>
      </c>
      <c r="B67" s="228" t="s">
        <v>116</v>
      </c>
      <c r="C67" s="36" t="s">
        <v>48</v>
      </c>
      <c r="D67" s="37">
        <v>10</v>
      </c>
      <c r="E67" s="539"/>
      <c r="F67" s="38">
        <f>D67*E67</f>
        <v>0</v>
      </c>
    </row>
    <row r="68" spans="1:45" ht="25.5">
      <c r="A68" s="112" t="s">
        <v>58</v>
      </c>
      <c r="B68" s="174" t="s">
        <v>117</v>
      </c>
      <c r="C68" s="36" t="s">
        <v>48</v>
      </c>
      <c r="D68" s="37">
        <f>D67</f>
        <v>10</v>
      </c>
      <c r="E68" s="539"/>
      <c r="F68" s="38">
        <f t="shared" si="8"/>
        <v>0</v>
      </c>
    </row>
    <row r="69" spans="1:45" ht="38.25">
      <c r="A69" s="108" t="s">
        <v>59</v>
      </c>
      <c r="B69" s="39" t="s">
        <v>93</v>
      </c>
      <c r="C69" s="36" t="s">
        <v>47</v>
      </c>
      <c r="D69" s="37">
        <v>5</v>
      </c>
      <c r="E69" s="521"/>
      <c r="F69" s="38">
        <f t="shared" ref="F69" si="9">D69*E69</f>
        <v>0</v>
      </c>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row>
    <row r="70" spans="1:45" ht="25.5">
      <c r="A70" s="108" t="s">
        <v>60</v>
      </c>
      <c r="B70" s="39" t="s">
        <v>176</v>
      </c>
      <c r="C70" s="36" t="s">
        <v>47</v>
      </c>
      <c r="D70" s="37">
        <v>20</v>
      </c>
      <c r="E70" s="521"/>
      <c r="F70" s="38">
        <f t="shared" si="8"/>
        <v>0</v>
      </c>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row>
    <row r="71" spans="1:45" ht="38.25">
      <c r="A71" s="108" t="s">
        <v>61</v>
      </c>
      <c r="B71" s="39" t="s">
        <v>177</v>
      </c>
      <c r="C71" s="36" t="s">
        <v>178</v>
      </c>
      <c r="D71" s="37">
        <v>2</v>
      </c>
      <c r="E71" s="521"/>
      <c r="F71" s="38">
        <f t="shared" ref="F71" si="10">D71*E71</f>
        <v>0</v>
      </c>
    </row>
    <row r="72" spans="1:45" ht="51">
      <c r="A72" s="108" t="s">
        <v>62</v>
      </c>
      <c r="B72" s="39" t="s">
        <v>21</v>
      </c>
      <c r="C72" s="36" t="s">
        <v>6</v>
      </c>
      <c r="D72" s="37">
        <v>3</v>
      </c>
      <c r="E72" s="521"/>
      <c r="F72" s="38">
        <f t="shared" si="8"/>
        <v>0</v>
      </c>
    </row>
    <row r="73" spans="1:45" s="192" customFormat="1" ht="51">
      <c r="A73" s="108" t="s">
        <v>63</v>
      </c>
      <c r="B73" s="39" t="s">
        <v>95</v>
      </c>
      <c r="C73" s="36" t="s">
        <v>6</v>
      </c>
      <c r="D73" s="37">
        <v>2</v>
      </c>
      <c r="E73" s="521"/>
      <c r="F73" s="38">
        <f>D73*E73</f>
        <v>0</v>
      </c>
      <c r="G73" s="80"/>
    </row>
    <row r="74" spans="1:45" s="192" customFormat="1" ht="51.75" thickBot="1">
      <c r="A74" s="108" t="s">
        <v>64</v>
      </c>
      <c r="B74" s="39" t="s">
        <v>194</v>
      </c>
      <c r="C74" s="36" t="s">
        <v>6</v>
      </c>
      <c r="D74" s="37">
        <v>1</v>
      </c>
      <c r="E74" s="521"/>
      <c r="F74" s="38">
        <f>D74*E74</f>
        <v>0</v>
      </c>
      <c r="G74" s="80"/>
    </row>
    <row r="75" spans="1:45" ht="15" thickBot="1">
      <c r="A75" s="143" t="s">
        <v>40</v>
      </c>
      <c r="B75" s="144" t="s">
        <v>10</v>
      </c>
      <c r="C75" s="78"/>
      <c r="D75" s="79"/>
      <c r="E75" s="101"/>
      <c r="F75" s="145">
        <f>SUM(F64:F74)</f>
        <v>0</v>
      </c>
    </row>
    <row r="76" spans="1:45" ht="15" thickBot="1"/>
    <row r="77" spans="1:45" ht="15" thickBot="1">
      <c r="A77" s="211"/>
      <c r="B77" s="212" t="s">
        <v>170</v>
      </c>
      <c r="C77" s="213"/>
      <c r="D77" s="214"/>
      <c r="E77" s="215"/>
      <c r="F77" s="216">
        <f>F13+F44+F60+F75</f>
        <v>0</v>
      </c>
    </row>
  </sheetData>
  <sheetProtection algorithmName="SHA-512" hashValue="fRufBgeoJa81XnAlQxJ3mAxNE31kcZr6xQrsp3FmcAbEcyWiX5CGW9o2e7m7X0OCakbHJ1RcL02ABfIBvqZ6JQ==" saltValue="v+6AwIY6NkWv9EMBtNlXzA==" spinCount="100000" sheet="1" objects="1" scenarios="1"/>
  <pageMargins left="0.70866141732283472" right="0.70866141732283472" top="0.74803149606299213" bottom="0.74803149606299213" header="0.31496062992125984" footer="0.31496062992125984"/>
  <pageSetup paperSize="9" scale="59" orientation="portrait" r:id="rId1"/>
  <headerFooter alignWithMargins="0">
    <oddHeader>&amp;R&amp;8
Št. projekta: 69/2018</oddHeader>
    <oddFooter>&amp;C&amp;8&amp;P/&amp;N</oddFooter>
  </headerFooter>
  <rowBreaks count="2" manualBreakCount="2">
    <brk id="42" max="5" man="1"/>
    <brk id="45" max="5" man="1"/>
  </rowBreaks>
  <ignoredErrors>
    <ignoredError sqref="A6:A12 A52:A58 A64:A74 A18:A3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S65"/>
  <sheetViews>
    <sheetView view="pageBreakPreview" topLeftCell="A50" zoomScaleNormal="100" zoomScaleSheetLayoutView="100" workbookViewId="0">
      <selection activeCell="E62" sqref="E62"/>
    </sheetView>
  </sheetViews>
  <sheetFormatPr defaultRowHeight="14.25"/>
  <cols>
    <col min="1" max="1" width="4.85546875" style="115" bestFit="1" customWidth="1"/>
    <col min="2" max="2" width="45.42578125" style="80" customWidth="1"/>
    <col min="3" max="3" width="6.5703125" style="81" bestFit="1" customWidth="1"/>
    <col min="4" max="4" width="9.140625" style="82"/>
    <col min="5" max="5" width="10" style="102" customWidth="1"/>
    <col min="6" max="6" width="12.42578125" style="102" customWidth="1"/>
    <col min="7" max="7" width="9.140625" style="27"/>
    <col min="8" max="16384" width="9.140625" style="24"/>
  </cols>
  <sheetData>
    <row r="1" spans="1:6" s="225" customFormat="1" ht="18">
      <c r="A1" s="243" t="s">
        <v>139</v>
      </c>
      <c r="B1" s="221" t="s">
        <v>157</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19">
        <v>1</v>
      </c>
      <c r="B5" s="35" t="s">
        <v>46</v>
      </c>
      <c r="C5" s="36" t="s">
        <v>9</v>
      </c>
      <c r="D5" s="37">
        <v>110</v>
      </c>
      <c r="E5" s="521"/>
      <c r="F5" s="38">
        <f t="shared" ref="F5:F8" si="0">D5*E5</f>
        <v>0</v>
      </c>
    </row>
    <row r="6" spans="1:6" ht="25.5">
      <c r="A6" s="108" t="s">
        <v>55</v>
      </c>
      <c r="B6" s="39" t="s">
        <v>28</v>
      </c>
      <c r="C6" s="36" t="s">
        <v>6</v>
      </c>
      <c r="D6" s="37">
        <f>1+6+1</f>
        <v>8</v>
      </c>
      <c r="E6" s="521"/>
      <c r="F6" s="38">
        <f t="shared" si="0"/>
        <v>0</v>
      </c>
    </row>
    <row r="7" spans="1:6" ht="38.25">
      <c r="A7" s="107" t="s">
        <v>56</v>
      </c>
      <c r="B7" s="35" t="s">
        <v>83</v>
      </c>
      <c r="C7" s="40" t="s">
        <v>47</v>
      </c>
      <c r="D7" s="37">
        <v>3</v>
      </c>
      <c r="E7" s="521"/>
      <c r="F7" s="38">
        <f t="shared" si="0"/>
        <v>0</v>
      </c>
    </row>
    <row r="8" spans="1:6" ht="51.75" thickBot="1">
      <c r="A8" s="108" t="s">
        <v>57</v>
      </c>
      <c r="B8" s="217" t="s">
        <v>161</v>
      </c>
      <c r="C8" s="42" t="s">
        <v>48</v>
      </c>
      <c r="D8" s="43">
        <v>66</v>
      </c>
      <c r="E8" s="521"/>
      <c r="F8" s="38">
        <f t="shared" si="0"/>
        <v>0</v>
      </c>
    </row>
    <row r="9" spans="1:6" ht="15" thickBot="1">
      <c r="A9" s="140" t="s">
        <v>34</v>
      </c>
      <c r="B9" s="47" t="s">
        <v>12</v>
      </c>
      <c r="C9" s="48"/>
      <c r="D9" s="49"/>
      <c r="E9" s="547"/>
      <c r="F9" s="141">
        <f>SUM(F5:F8)</f>
        <v>0</v>
      </c>
    </row>
    <row r="10" spans="1:6" ht="15" thickBot="1">
      <c r="A10" s="109"/>
      <c r="B10" s="50"/>
      <c r="C10" s="51"/>
      <c r="D10" s="52"/>
      <c r="E10" s="88"/>
      <c r="F10" s="89"/>
    </row>
    <row r="11" spans="1:6" ht="15" thickBot="1">
      <c r="A11" s="110"/>
      <c r="B11" s="53" t="s">
        <v>35</v>
      </c>
      <c r="C11" s="54"/>
      <c r="D11" s="55"/>
      <c r="E11" s="90"/>
      <c r="F11" s="91"/>
    </row>
    <row r="12" spans="1:6" ht="51">
      <c r="A12" s="111"/>
      <c r="B12" s="56" t="s">
        <v>52</v>
      </c>
      <c r="C12" s="57"/>
      <c r="D12" s="58"/>
      <c r="E12" s="92"/>
      <c r="F12" s="93"/>
    </row>
    <row r="13" spans="1:6" ht="38.25">
      <c r="A13" s="107"/>
      <c r="B13" s="59" t="s">
        <v>25</v>
      </c>
      <c r="C13" s="36"/>
      <c r="D13" s="37"/>
      <c r="E13" s="44"/>
      <c r="F13" s="38"/>
    </row>
    <row r="14" spans="1:6" ht="38.25">
      <c r="A14" s="108" t="s">
        <v>54</v>
      </c>
      <c r="B14" s="35" t="s">
        <v>72</v>
      </c>
      <c r="C14" s="40" t="s">
        <v>47</v>
      </c>
      <c r="D14" s="37">
        <f>80*3*0.2</f>
        <v>48</v>
      </c>
      <c r="E14" s="521"/>
      <c r="F14" s="38">
        <f>D14*E14</f>
        <v>0</v>
      </c>
    </row>
    <row r="15" spans="1:6" ht="25.5">
      <c r="A15" s="108" t="s">
        <v>55</v>
      </c>
      <c r="B15" s="169" t="s">
        <v>101</v>
      </c>
      <c r="C15" s="40" t="s">
        <v>47</v>
      </c>
      <c r="D15" s="37">
        <f>(66+20)*0.3</f>
        <v>25.8</v>
      </c>
      <c r="E15" s="521"/>
      <c r="F15" s="38">
        <f>D15*E15</f>
        <v>0</v>
      </c>
    </row>
    <row r="16" spans="1:6">
      <c r="A16" s="108" t="s">
        <v>56</v>
      </c>
      <c r="B16" s="35" t="s">
        <v>43</v>
      </c>
      <c r="C16" s="40" t="s">
        <v>47</v>
      </c>
      <c r="D16" s="37">
        <v>5</v>
      </c>
      <c r="E16" s="521"/>
      <c r="F16" s="38">
        <f>D16*E16</f>
        <v>0</v>
      </c>
    </row>
    <row r="17" spans="1:7" ht="38.25">
      <c r="A17" s="152" t="s">
        <v>57</v>
      </c>
      <c r="B17" s="178" t="s">
        <v>108</v>
      </c>
      <c r="C17" s="179"/>
      <c r="D17" s="180"/>
      <c r="E17" s="181"/>
      <c r="F17" s="182"/>
    </row>
    <row r="18" spans="1:7">
      <c r="A18" s="187"/>
      <c r="B18" s="188" t="s">
        <v>77</v>
      </c>
      <c r="C18" s="189" t="s">
        <v>47</v>
      </c>
      <c r="D18" s="180">
        <f>320*0.9</f>
        <v>288</v>
      </c>
      <c r="E18" s="535"/>
      <c r="F18" s="191">
        <f>D18*E18</f>
        <v>0</v>
      </c>
    </row>
    <row r="19" spans="1:7">
      <c r="A19" s="107"/>
      <c r="B19" s="183" t="s">
        <v>76</v>
      </c>
      <c r="C19" s="184" t="s">
        <v>47</v>
      </c>
      <c r="D19" s="185">
        <v>2</v>
      </c>
      <c r="E19" s="541"/>
      <c r="F19" s="186">
        <f>D19*E19</f>
        <v>0</v>
      </c>
    </row>
    <row r="20" spans="1:7" ht="38.25">
      <c r="A20" s="113" t="s">
        <v>58</v>
      </c>
      <c r="B20" s="178" t="s">
        <v>79</v>
      </c>
      <c r="C20" s="40" t="s">
        <v>47</v>
      </c>
      <c r="D20" s="180">
        <f>320*0.1</f>
        <v>32</v>
      </c>
      <c r="E20" s="542"/>
      <c r="F20" s="60">
        <f>D20*E20</f>
        <v>0</v>
      </c>
    </row>
    <row r="21" spans="1:7" ht="63.75">
      <c r="A21" s="113" t="s">
        <v>59</v>
      </c>
      <c r="B21" s="35" t="s">
        <v>73</v>
      </c>
      <c r="C21" s="40" t="s">
        <v>6</v>
      </c>
      <c r="D21" s="37">
        <v>3</v>
      </c>
      <c r="E21" s="520"/>
      <c r="F21" s="60">
        <f t="shared" ref="F21:F32" si="1">D21*E21</f>
        <v>0</v>
      </c>
    </row>
    <row r="22" spans="1:7" ht="25.5">
      <c r="A22" s="108" t="s">
        <v>60</v>
      </c>
      <c r="B22" s="218" t="s">
        <v>44</v>
      </c>
      <c r="C22" s="42" t="s">
        <v>48</v>
      </c>
      <c r="D22" s="37">
        <f>110*0.8</f>
        <v>88</v>
      </c>
      <c r="E22" s="521"/>
      <c r="F22" s="60">
        <f t="shared" si="1"/>
        <v>0</v>
      </c>
    </row>
    <row r="23" spans="1:7" ht="51">
      <c r="A23" s="113" t="s">
        <v>61</v>
      </c>
      <c r="B23" s="169" t="s">
        <v>84</v>
      </c>
      <c r="C23" s="40" t="s">
        <v>47</v>
      </c>
      <c r="D23" s="37">
        <f>16.04*1.1</f>
        <v>17.644000000000002</v>
      </c>
      <c r="E23" s="521"/>
      <c r="F23" s="60">
        <f t="shared" si="1"/>
        <v>0</v>
      </c>
    </row>
    <row r="24" spans="1:7" ht="51">
      <c r="A24" s="108" t="s">
        <v>62</v>
      </c>
      <c r="B24" s="169" t="s">
        <v>85</v>
      </c>
      <c r="C24" s="40" t="s">
        <v>47</v>
      </c>
      <c r="D24" s="37">
        <f>35.63*1.1</f>
        <v>39.193000000000005</v>
      </c>
      <c r="E24" s="521"/>
      <c r="F24" s="60">
        <f t="shared" si="1"/>
        <v>0</v>
      </c>
    </row>
    <row r="25" spans="1:7" ht="76.5">
      <c r="A25" s="113" t="s">
        <v>63</v>
      </c>
      <c r="B25" s="35" t="s">
        <v>22</v>
      </c>
      <c r="C25" s="40" t="s">
        <v>47</v>
      </c>
      <c r="D25" s="37">
        <v>264.05</v>
      </c>
      <c r="E25" s="521"/>
      <c r="F25" s="60">
        <f t="shared" si="1"/>
        <v>0</v>
      </c>
    </row>
    <row r="26" spans="1:7" ht="38.25">
      <c r="A26" s="113" t="s">
        <v>64</v>
      </c>
      <c r="B26" s="173" t="s">
        <v>103</v>
      </c>
      <c r="C26" s="40" t="s">
        <v>47</v>
      </c>
      <c r="D26" s="37">
        <f>(66+20)*0.3</f>
        <v>25.8</v>
      </c>
      <c r="E26" s="521"/>
      <c r="F26" s="60">
        <f t="shared" si="1"/>
        <v>0</v>
      </c>
    </row>
    <row r="27" spans="1:7" ht="25.5">
      <c r="A27" s="108" t="s">
        <v>65</v>
      </c>
      <c r="B27" s="61" t="s">
        <v>45</v>
      </c>
      <c r="C27" s="36" t="s">
        <v>9</v>
      </c>
      <c r="D27" s="37">
        <v>110</v>
      </c>
      <c r="E27" s="521"/>
      <c r="F27" s="60">
        <f t="shared" si="1"/>
        <v>0</v>
      </c>
    </row>
    <row r="28" spans="1:7" ht="38.25">
      <c r="A28" s="113" t="s">
        <v>66</v>
      </c>
      <c r="B28" s="61" t="s">
        <v>159</v>
      </c>
      <c r="C28" s="40" t="s">
        <v>47</v>
      </c>
      <c r="D28" s="37">
        <f>(D15+D16+D18+D19-D25)*1.25</f>
        <v>70.9375</v>
      </c>
      <c r="E28" s="521"/>
      <c r="F28" s="60">
        <f t="shared" si="1"/>
        <v>0</v>
      </c>
    </row>
    <row r="29" spans="1:7">
      <c r="A29" s="108" t="s">
        <v>67</v>
      </c>
      <c r="B29" s="218" t="s">
        <v>160</v>
      </c>
      <c r="C29" s="42" t="s">
        <v>48</v>
      </c>
      <c r="D29" s="37">
        <f>66+20</f>
        <v>86</v>
      </c>
      <c r="E29" s="521"/>
      <c r="F29" s="60">
        <f t="shared" si="1"/>
        <v>0</v>
      </c>
    </row>
    <row r="30" spans="1:7" s="235" customFormat="1">
      <c r="A30" s="108" t="s">
        <v>68</v>
      </c>
      <c r="B30" s="218" t="s">
        <v>115</v>
      </c>
      <c r="C30" s="42" t="s">
        <v>48</v>
      </c>
      <c r="D30" s="37">
        <f>D29*1.1</f>
        <v>94.600000000000009</v>
      </c>
      <c r="E30" s="521"/>
      <c r="F30" s="60">
        <f t="shared" si="1"/>
        <v>0</v>
      </c>
      <c r="G30" s="27"/>
    </row>
    <row r="31" spans="1:7" ht="38.25">
      <c r="A31" s="113" t="s">
        <v>69</v>
      </c>
      <c r="B31" s="61" t="s">
        <v>87</v>
      </c>
      <c r="C31" s="40" t="s">
        <v>47</v>
      </c>
      <c r="D31" s="37">
        <f>D14</f>
        <v>48</v>
      </c>
      <c r="E31" s="521"/>
      <c r="F31" s="60">
        <f t="shared" si="1"/>
        <v>0</v>
      </c>
    </row>
    <row r="32" spans="1:7" ht="26.25" thickBot="1">
      <c r="A32" s="113" t="s">
        <v>70</v>
      </c>
      <c r="B32" s="220" t="s">
        <v>74</v>
      </c>
      <c r="C32" s="40" t="s">
        <v>48</v>
      </c>
      <c r="D32" s="37">
        <f>D31/0.2</f>
        <v>240</v>
      </c>
      <c r="E32" s="521"/>
      <c r="F32" s="60">
        <f t="shared" si="1"/>
        <v>0</v>
      </c>
    </row>
    <row r="33" spans="1:6" ht="15" thickBot="1">
      <c r="A33" s="149" t="s">
        <v>36</v>
      </c>
      <c r="B33" s="150" t="s">
        <v>11</v>
      </c>
      <c r="C33" s="63"/>
      <c r="D33" s="64"/>
      <c r="E33" s="94"/>
      <c r="F33" s="151">
        <f>SUM(F14:F32)</f>
        <v>0</v>
      </c>
    </row>
    <row r="34" spans="1:6" ht="15" thickBot="1">
      <c r="A34" s="109"/>
      <c r="B34" s="65"/>
      <c r="C34" s="66"/>
      <c r="D34" s="67"/>
      <c r="E34" s="95"/>
      <c r="F34" s="88"/>
    </row>
    <row r="35" spans="1:6" ht="15" thickBot="1">
      <c r="A35" s="114"/>
      <c r="B35" s="68" t="s">
        <v>37</v>
      </c>
      <c r="C35" s="69"/>
      <c r="D35" s="70"/>
      <c r="E35" s="96"/>
      <c r="F35" s="97"/>
    </row>
    <row r="36" spans="1:6" ht="63.75">
      <c r="A36" s="111"/>
      <c r="B36" s="71" t="s">
        <v>24</v>
      </c>
      <c r="C36" s="32"/>
      <c r="D36" s="33"/>
      <c r="E36" s="86"/>
      <c r="F36" s="34"/>
    </row>
    <row r="37" spans="1:6" ht="76.5">
      <c r="A37" s="112">
        <v>1</v>
      </c>
      <c r="B37" s="61" t="s">
        <v>97</v>
      </c>
      <c r="C37" s="45" t="s">
        <v>9</v>
      </c>
      <c r="D37" s="103">
        <v>115</v>
      </c>
      <c r="E37" s="536"/>
      <c r="F37" s="62">
        <f t="shared" ref="F37:F52" si="2">D37*E37</f>
        <v>0</v>
      </c>
    </row>
    <row r="38" spans="1:6">
      <c r="A38" s="167"/>
      <c r="B38" s="156" t="s">
        <v>151</v>
      </c>
      <c r="C38" s="157" t="s">
        <v>6</v>
      </c>
      <c r="D38" s="103">
        <v>2</v>
      </c>
      <c r="E38" s="536"/>
      <c r="F38" s="62">
        <f t="shared" ref="F38" si="3">D38*E38</f>
        <v>0</v>
      </c>
    </row>
    <row r="39" spans="1:6">
      <c r="A39" s="167"/>
      <c r="B39" s="156" t="s">
        <v>155</v>
      </c>
      <c r="C39" s="157" t="s">
        <v>6</v>
      </c>
      <c r="D39" s="103">
        <v>10</v>
      </c>
      <c r="E39" s="536"/>
      <c r="F39" s="62">
        <f t="shared" si="2"/>
        <v>0</v>
      </c>
    </row>
    <row r="40" spans="1:6" ht="165.75">
      <c r="A40" s="159" t="s">
        <v>55</v>
      </c>
      <c r="B40" s="244" t="s">
        <v>141</v>
      </c>
      <c r="C40" s="161"/>
      <c r="D40" s="162"/>
      <c r="E40" s="163"/>
      <c r="F40" s="164"/>
    </row>
    <row r="41" spans="1:6">
      <c r="A41" s="167"/>
      <c r="B41" s="156" t="s">
        <v>30</v>
      </c>
      <c r="C41" s="157" t="s">
        <v>6</v>
      </c>
      <c r="D41" s="158">
        <v>6</v>
      </c>
      <c r="E41" s="543"/>
      <c r="F41" s="168">
        <f t="shared" si="2"/>
        <v>0</v>
      </c>
    </row>
    <row r="42" spans="1:6" ht="76.5">
      <c r="A42" s="112" t="s">
        <v>56</v>
      </c>
      <c r="B42" s="226" t="s">
        <v>128</v>
      </c>
      <c r="C42" s="45"/>
      <c r="D42" s="103"/>
      <c r="E42" s="46"/>
      <c r="F42" s="62"/>
    </row>
    <row r="43" spans="1:6">
      <c r="A43" s="167"/>
      <c r="B43" s="156" t="s">
        <v>129</v>
      </c>
      <c r="C43" s="240"/>
      <c r="D43" s="241"/>
      <c r="E43" s="242"/>
      <c r="F43" s="242"/>
    </row>
    <row r="44" spans="1:6">
      <c r="A44" s="238"/>
      <c r="B44" s="239" t="s">
        <v>130</v>
      </c>
      <c r="C44" s="240"/>
      <c r="D44" s="241"/>
      <c r="E44" s="242"/>
      <c r="F44" s="242"/>
    </row>
    <row r="45" spans="1:6">
      <c r="A45" s="238"/>
      <c r="B45" s="239" t="s">
        <v>131</v>
      </c>
      <c r="C45" s="240"/>
      <c r="D45" s="241"/>
      <c r="E45" s="242"/>
      <c r="F45" s="242"/>
    </row>
    <row r="46" spans="1:6">
      <c r="A46" s="238"/>
      <c r="B46" s="239" t="s">
        <v>132</v>
      </c>
      <c r="C46" s="157" t="s">
        <v>6</v>
      </c>
      <c r="D46" s="158">
        <v>1</v>
      </c>
      <c r="E46" s="543"/>
      <c r="F46" s="168">
        <f>D46*E46</f>
        <v>0</v>
      </c>
    </row>
    <row r="47" spans="1:6" ht="51">
      <c r="A47" s="112" t="s">
        <v>57</v>
      </c>
      <c r="B47" s="61" t="s">
        <v>109</v>
      </c>
      <c r="C47" s="36" t="s">
        <v>6</v>
      </c>
      <c r="D47" s="37">
        <v>1</v>
      </c>
      <c r="E47" s="521"/>
      <c r="F47" s="62">
        <f t="shared" si="2"/>
        <v>0</v>
      </c>
    </row>
    <row r="48" spans="1:6" ht="102">
      <c r="A48" s="112" t="s">
        <v>58</v>
      </c>
      <c r="B48" s="35" t="s">
        <v>88</v>
      </c>
      <c r="C48" s="36" t="s">
        <v>6</v>
      </c>
      <c r="D48" s="37">
        <v>1</v>
      </c>
      <c r="E48" s="520"/>
      <c r="F48" s="62">
        <f t="shared" si="2"/>
        <v>0</v>
      </c>
    </row>
    <row r="49" spans="1:45" ht="51">
      <c r="A49" s="112" t="s">
        <v>59</v>
      </c>
      <c r="B49" s="35" t="s">
        <v>89</v>
      </c>
      <c r="C49" s="36" t="s">
        <v>6</v>
      </c>
      <c r="D49" s="37">
        <v>1</v>
      </c>
      <c r="E49" s="520"/>
      <c r="F49" s="62">
        <f t="shared" si="2"/>
        <v>0</v>
      </c>
    </row>
    <row r="50" spans="1:45" ht="38.25">
      <c r="A50" s="112" t="s">
        <v>60</v>
      </c>
      <c r="B50" s="175" t="s">
        <v>90</v>
      </c>
      <c r="C50" s="36" t="s">
        <v>6</v>
      </c>
      <c r="D50" s="176">
        <v>1</v>
      </c>
      <c r="E50" s="545"/>
      <c r="F50" s="62">
        <f t="shared" si="2"/>
        <v>0</v>
      </c>
    </row>
    <row r="51" spans="1:45" s="235" customFormat="1" ht="89.25">
      <c r="A51" s="112" t="s">
        <v>61</v>
      </c>
      <c r="B51" s="218" t="s">
        <v>81</v>
      </c>
      <c r="C51" s="36" t="s">
        <v>9</v>
      </c>
      <c r="D51" s="37">
        <v>8</v>
      </c>
      <c r="E51" s="520"/>
      <c r="F51" s="62">
        <f t="shared" si="2"/>
        <v>0</v>
      </c>
      <c r="G51" s="27"/>
    </row>
    <row r="52" spans="1:45" ht="15" thickBot="1">
      <c r="A52" s="165"/>
      <c r="B52" s="153" t="s">
        <v>113</v>
      </c>
      <c r="C52" s="154" t="s">
        <v>6</v>
      </c>
      <c r="D52" s="155">
        <v>1</v>
      </c>
      <c r="E52" s="537"/>
      <c r="F52" s="166">
        <f t="shared" si="2"/>
        <v>0</v>
      </c>
    </row>
    <row r="53" spans="1:45" ht="15" thickBot="1">
      <c r="A53" s="146" t="s">
        <v>38</v>
      </c>
      <c r="B53" s="148" t="s">
        <v>26</v>
      </c>
      <c r="C53" s="72"/>
      <c r="D53" s="73"/>
      <c r="E53" s="548"/>
      <c r="F53" s="147">
        <f>SUM(F37:F52)</f>
        <v>0</v>
      </c>
    </row>
    <row r="54" spans="1:45" ht="15" thickBot="1">
      <c r="A54" s="109"/>
      <c r="B54" s="50"/>
      <c r="C54" s="51"/>
      <c r="D54" s="52"/>
      <c r="E54" s="549"/>
      <c r="F54" s="88"/>
    </row>
    <row r="55" spans="1:45" ht="15" thickBot="1">
      <c r="A55" s="110"/>
      <c r="B55" s="74" t="s">
        <v>39</v>
      </c>
      <c r="C55" s="75"/>
      <c r="D55" s="76"/>
      <c r="E55" s="550"/>
      <c r="F55" s="100"/>
    </row>
    <row r="56" spans="1:45" ht="63.75">
      <c r="A56" s="107"/>
      <c r="B56" s="56" t="s">
        <v>8</v>
      </c>
      <c r="C56" s="57"/>
      <c r="D56" s="58"/>
      <c r="E56" s="551"/>
      <c r="F56" s="93"/>
    </row>
    <row r="57" spans="1:45" ht="25.5">
      <c r="A57" s="108" t="s">
        <v>54</v>
      </c>
      <c r="B57" s="77" t="s">
        <v>42</v>
      </c>
      <c r="C57" s="42" t="s">
        <v>9</v>
      </c>
      <c r="D57" s="104">
        <v>110</v>
      </c>
      <c r="E57" s="538"/>
      <c r="F57" s="38">
        <f t="shared" ref="F57:F61" si="4">D57*E57</f>
        <v>0</v>
      </c>
    </row>
    <row r="58" spans="1:45" ht="25.5">
      <c r="A58" s="108" t="s">
        <v>55</v>
      </c>
      <c r="B58" s="236" t="s">
        <v>104</v>
      </c>
      <c r="C58" s="42" t="s">
        <v>9</v>
      </c>
      <c r="D58" s="104">
        <v>110</v>
      </c>
      <c r="E58" s="538"/>
      <c r="F58" s="38">
        <f>D58*E58</f>
        <v>0</v>
      </c>
    </row>
    <row r="59" spans="1:45">
      <c r="A59" s="108" t="s">
        <v>56</v>
      </c>
      <c r="B59" s="236" t="s">
        <v>105</v>
      </c>
      <c r="C59" s="42" t="s">
        <v>9</v>
      </c>
      <c r="D59" s="104">
        <v>110</v>
      </c>
      <c r="E59" s="538"/>
      <c r="F59" s="38">
        <f>D59*E59</f>
        <v>0</v>
      </c>
    </row>
    <row r="60" spans="1:45" ht="25.5">
      <c r="A60" s="108" t="s">
        <v>57</v>
      </c>
      <c r="B60" s="39" t="s">
        <v>93</v>
      </c>
      <c r="C60" s="36" t="s">
        <v>47</v>
      </c>
      <c r="D60" s="37">
        <v>3</v>
      </c>
      <c r="E60" s="521"/>
      <c r="F60" s="38">
        <f t="shared" si="4"/>
        <v>0</v>
      </c>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row>
    <row r="61" spans="1:45" ht="51">
      <c r="A61" s="108" t="s">
        <v>58</v>
      </c>
      <c r="B61" s="39" t="s">
        <v>21</v>
      </c>
      <c r="C61" s="36" t="s">
        <v>6</v>
      </c>
      <c r="D61" s="37">
        <v>2</v>
      </c>
      <c r="E61" s="521"/>
      <c r="F61" s="38">
        <f t="shared" si="4"/>
        <v>0</v>
      </c>
    </row>
    <row r="62" spans="1:45" s="192" customFormat="1" ht="51.75" thickBot="1">
      <c r="A62" s="108" t="s">
        <v>59</v>
      </c>
      <c r="B62" s="39" t="s">
        <v>95</v>
      </c>
      <c r="C62" s="36" t="s">
        <v>6</v>
      </c>
      <c r="D62" s="37">
        <v>2</v>
      </c>
      <c r="E62" s="521"/>
      <c r="F62" s="38">
        <f>D62*E62</f>
        <v>0</v>
      </c>
      <c r="G62" s="80"/>
    </row>
    <row r="63" spans="1:45" ht="15" thickBot="1">
      <c r="A63" s="143" t="s">
        <v>40</v>
      </c>
      <c r="B63" s="144" t="s">
        <v>10</v>
      </c>
      <c r="C63" s="78"/>
      <c r="D63" s="79"/>
      <c r="E63" s="101"/>
      <c r="F63" s="145">
        <f>SUM(F57:F62)</f>
        <v>0</v>
      </c>
    </row>
    <row r="64" spans="1:45" ht="15" thickBot="1"/>
    <row r="65" spans="1:6" ht="15" thickBot="1">
      <c r="A65" s="211"/>
      <c r="B65" s="212" t="s">
        <v>158</v>
      </c>
      <c r="C65" s="213"/>
      <c r="D65" s="214"/>
      <c r="E65" s="215"/>
      <c r="F65" s="216">
        <f>F9+F33+F53+F63</f>
        <v>0</v>
      </c>
    </row>
  </sheetData>
  <sheetProtection algorithmName="SHA-512" hashValue="/LTAXW/zIDwr2+xIzjdYA9LS/Mijh0c6dDpv8RK1Uz33gHsO5q+i+d/7BowtTbSBjC2vk6XmeZRm/xQnBgC/mQ==" saltValue="XGOVbS2RrPaxBmP6quWXc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53" max="16383" man="1"/>
  </rowBreaks>
  <ignoredErrors>
    <ignoredError sqref="A6:A8 A14:A32 A40:A51 A57:A6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S69"/>
  <sheetViews>
    <sheetView view="pageBreakPreview" topLeftCell="A51" zoomScaleNormal="100" zoomScaleSheetLayoutView="100" workbookViewId="0">
      <selection activeCell="E62" sqref="E62"/>
    </sheetView>
  </sheetViews>
  <sheetFormatPr defaultRowHeight="14.25"/>
  <cols>
    <col min="1" max="1" width="4.85546875" style="115" bestFit="1" customWidth="1"/>
    <col min="2" max="2" width="45.42578125" style="80" customWidth="1"/>
    <col min="3" max="3" width="6.5703125" style="81" bestFit="1" customWidth="1"/>
    <col min="4" max="4" width="8.7109375" style="82" customWidth="1"/>
    <col min="5" max="5" width="10.7109375" style="102" customWidth="1"/>
    <col min="6" max="6" width="12.7109375" style="102" customWidth="1"/>
    <col min="7" max="7" width="9.140625" style="27"/>
    <col min="8" max="16384" width="9.140625" style="24"/>
  </cols>
  <sheetData>
    <row r="1" spans="1:6" s="225" customFormat="1" ht="18">
      <c r="A1" s="243" t="s">
        <v>140</v>
      </c>
      <c r="B1" s="221" t="s">
        <v>162</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19">
        <v>1</v>
      </c>
      <c r="B5" s="35" t="s">
        <v>46</v>
      </c>
      <c r="C5" s="36" t="s">
        <v>9</v>
      </c>
      <c r="D5" s="37">
        <v>140</v>
      </c>
      <c r="E5" s="521"/>
      <c r="F5" s="38">
        <f t="shared" ref="F5:F12" si="0">D5*E5</f>
        <v>0</v>
      </c>
    </row>
    <row r="6" spans="1:6" ht="25.5">
      <c r="A6" s="108" t="s">
        <v>55</v>
      </c>
      <c r="B6" s="39" t="s">
        <v>28</v>
      </c>
      <c r="C6" s="36" t="s">
        <v>6</v>
      </c>
      <c r="D6" s="37">
        <f>1+4</f>
        <v>5</v>
      </c>
      <c r="E6" s="521"/>
      <c r="F6" s="38">
        <f t="shared" si="0"/>
        <v>0</v>
      </c>
    </row>
    <row r="7" spans="1:6" ht="38.25">
      <c r="A7" s="107" t="s">
        <v>56</v>
      </c>
      <c r="B7" s="35" t="s">
        <v>83</v>
      </c>
      <c r="C7" s="40" t="s">
        <v>47</v>
      </c>
      <c r="D7" s="37">
        <v>8</v>
      </c>
      <c r="E7" s="521"/>
      <c r="F7" s="38">
        <f t="shared" si="0"/>
        <v>0</v>
      </c>
    </row>
    <row r="8" spans="1:6" ht="38.25">
      <c r="A8" s="108" t="s">
        <v>57</v>
      </c>
      <c r="B8" s="41" t="s">
        <v>121</v>
      </c>
      <c r="C8" s="36" t="s">
        <v>9</v>
      </c>
      <c r="D8" s="37">
        <v>10</v>
      </c>
      <c r="E8" s="521"/>
      <c r="F8" s="38">
        <f t="shared" si="0"/>
        <v>0</v>
      </c>
    </row>
    <row r="9" spans="1:6" ht="38.25">
      <c r="A9" s="108" t="s">
        <v>58</v>
      </c>
      <c r="B9" s="41" t="s">
        <v>122</v>
      </c>
      <c r="C9" s="36" t="s">
        <v>9</v>
      </c>
      <c r="D9" s="37">
        <v>18</v>
      </c>
      <c r="E9" s="521"/>
      <c r="F9" s="38">
        <f t="shared" si="0"/>
        <v>0</v>
      </c>
    </row>
    <row r="10" spans="1:6" ht="38.25">
      <c r="A10" s="107" t="s">
        <v>59</v>
      </c>
      <c r="B10" s="35" t="s">
        <v>53</v>
      </c>
      <c r="C10" s="42" t="s">
        <v>48</v>
      </c>
      <c r="D10" s="37">
        <v>10</v>
      </c>
      <c r="E10" s="521"/>
      <c r="F10" s="38">
        <f t="shared" si="0"/>
        <v>0</v>
      </c>
    </row>
    <row r="11" spans="1:6" ht="38.25">
      <c r="A11" s="107" t="s">
        <v>60</v>
      </c>
      <c r="B11" s="35" t="s">
        <v>123</v>
      </c>
      <c r="C11" s="42" t="s">
        <v>48</v>
      </c>
      <c r="D11" s="37">
        <v>40</v>
      </c>
      <c r="E11" s="521"/>
      <c r="F11" s="38">
        <f t="shared" si="0"/>
        <v>0</v>
      </c>
    </row>
    <row r="12" spans="1:6" ht="39" thickBot="1">
      <c r="A12" s="107" t="s">
        <v>61</v>
      </c>
      <c r="B12" s="237" t="s">
        <v>75</v>
      </c>
      <c r="C12" s="170" t="s">
        <v>9</v>
      </c>
      <c r="D12" s="171">
        <v>5</v>
      </c>
      <c r="E12" s="540"/>
      <c r="F12" s="172">
        <f t="shared" si="0"/>
        <v>0</v>
      </c>
    </row>
    <row r="13" spans="1:6" ht="15" thickBot="1">
      <c r="A13" s="140" t="s">
        <v>34</v>
      </c>
      <c r="B13" s="47" t="s">
        <v>12</v>
      </c>
      <c r="C13" s="48"/>
      <c r="D13" s="49"/>
      <c r="E13" s="87"/>
      <c r="F13" s="141">
        <f>SUM(F5:F12)</f>
        <v>0</v>
      </c>
    </row>
    <row r="14" spans="1:6" ht="15" thickBot="1">
      <c r="A14" s="109"/>
      <c r="B14" s="50"/>
      <c r="C14" s="51"/>
      <c r="D14" s="52"/>
      <c r="E14" s="88"/>
      <c r="F14" s="89"/>
    </row>
    <row r="15" spans="1:6" ht="15" thickBot="1">
      <c r="A15" s="110"/>
      <c r="B15" s="53" t="s">
        <v>35</v>
      </c>
      <c r="C15" s="54"/>
      <c r="D15" s="55"/>
      <c r="E15" s="90"/>
      <c r="F15" s="91"/>
    </row>
    <row r="16" spans="1:6" ht="51">
      <c r="A16" s="111"/>
      <c r="B16" s="56" t="s">
        <v>52</v>
      </c>
      <c r="C16" s="57"/>
      <c r="D16" s="58"/>
      <c r="E16" s="92"/>
      <c r="F16" s="93"/>
    </row>
    <row r="17" spans="1:6" ht="38.25">
      <c r="A17" s="107"/>
      <c r="B17" s="59" t="s">
        <v>25</v>
      </c>
      <c r="C17" s="36"/>
      <c r="D17" s="37"/>
      <c r="E17" s="44"/>
      <c r="F17" s="38"/>
    </row>
    <row r="18" spans="1:6" ht="38.25">
      <c r="A18" s="108" t="s">
        <v>54</v>
      </c>
      <c r="B18" s="35" t="s">
        <v>72</v>
      </c>
      <c r="C18" s="40" t="s">
        <v>47</v>
      </c>
      <c r="D18" s="37">
        <f>95*3*0.2</f>
        <v>57</v>
      </c>
      <c r="E18" s="521"/>
      <c r="F18" s="38">
        <f>D18*E18</f>
        <v>0</v>
      </c>
    </row>
    <row r="19" spans="1:6" ht="25.5">
      <c r="A19" s="108" t="s">
        <v>55</v>
      </c>
      <c r="B19" s="169" t="s">
        <v>101</v>
      </c>
      <c r="C19" s="40" t="s">
        <v>47</v>
      </c>
      <c r="D19" s="37">
        <f>(50*0.3)+(70*0.3)</f>
        <v>36</v>
      </c>
      <c r="E19" s="521"/>
      <c r="F19" s="38">
        <f>D19*E19</f>
        <v>0</v>
      </c>
    </row>
    <row r="20" spans="1:6">
      <c r="A20" s="108" t="s">
        <v>56</v>
      </c>
      <c r="B20" s="35" t="s">
        <v>43</v>
      </c>
      <c r="C20" s="40" t="s">
        <v>47</v>
      </c>
      <c r="D20" s="37">
        <v>8</v>
      </c>
      <c r="E20" s="521"/>
      <c r="F20" s="38">
        <f>D20*E20</f>
        <v>0</v>
      </c>
    </row>
    <row r="21" spans="1:6" ht="38.25">
      <c r="A21" s="152" t="s">
        <v>57</v>
      </c>
      <c r="B21" s="178" t="s">
        <v>78</v>
      </c>
      <c r="C21" s="179"/>
      <c r="D21" s="180"/>
      <c r="E21" s="181"/>
      <c r="F21" s="182"/>
    </row>
    <row r="22" spans="1:6">
      <c r="A22" s="187"/>
      <c r="B22" s="188" t="s">
        <v>77</v>
      </c>
      <c r="C22" s="189" t="s">
        <v>47</v>
      </c>
      <c r="D22" s="190">
        <v>50</v>
      </c>
      <c r="E22" s="535"/>
      <c r="F22" s="191">
        <f>D22*E22</f>
        <v>0</v>
      </c>
    </row>
    <row r="23" spans="1:6" ht="38.25">
      <c r="A23" s="152" t="s">
        <v>58</v>
      </c>
      <c r="B23" s="178" t="s">
        <v>108</v>
      </c>
      <c r="C23" s="179"/>
      <c r="D23" s="180"/>
      <c r="E23" s="181"/>
      <c r="F23" s="182"/>
    </row>
    <row r="24" spans="1:6">
      <c r="A24" s="187"/>
      <c r="B24" s="188" t="s">
        <v>77</v>
      </c>
      <c r="C24" s="189" t="s">
        <v>47</v>
      </c>
      <c r="D24" s="190">
        <f>(498.1-D22)*0.9</f>
        <v>403.29</v>
      </c>
      <c r="E24" s="535"/>
      <c r="F24" s="191">
        <f>D24*E24</f>
        <v>0</v>
      </c>
    </row>
    <row r="25" spans="1:6">
      <c r="A25" s="107"/>
      <c r="B25" s="183" t="s">
        <v>76</v>
      </c>
      <c r="C25" s="184" t="s">
        <v>47</v>
      </c>
      <c r="D25" s="185">
        <v>6.65</v>
      </c>
      <c r="E25" s="541"/>
      <c r="F25" s="186">
        <f>D25*E25</f>
        <v>0</v>
      </c>
    </row>
    <row r="26" spans="1:6" ht="38.25">
      <c r="A26" s="113" t="s">
        <v>59</v>
      </c>
      <c r="B26" s="178" t="s">
        <v>79</v>
      </c>
      <c r="C26" s="40" t="s">
        <v>47</v>
      </c>
      <c r="D26" s="190">
        <f>(498.1-D24)*0.1</f>
        <v>9.4809999999999999</v>
      </c>
      <c r="E26" s="542"/>
      <c r="F26" s="60">
        <f>D26*E26</f>
        <v>0</v>
      </c>
    </row>
    <row r="27" spans="1:6" ht="38.25">
      <c r="A27" s="113" t="s">
        <v>60</v>
      </c>
      <c r="B27" s="218" t="s">
        <v>29</v>
      </c>
      <c r="C27" s="40" t="s">
        <v>48</v>
      </c>
      <c r="D27" s="37">
        <f>20*2*1.5</f>
        <v>60</v>
      </c>
      <c r="E27" s="520"/>
      <c r="F27" s="60">
        <f t="shared" ref="F27:F42" si="1">D27*E27</f>
        <v>0</v>
      </c>
    </row>
    <row r="28" spans="1:6" ht="63.75">
      <c r="A28" s="113" t="s">
        <v>61</v>
      </c>
      <c r="B28" s="35" t="s">
        <v>73</v>
      </c>
      <c r="C28" s="40" t="s">
        <v>6</v>
      </c>
      <c r="D28" s="37">
        <v>7</v>
      </c>
      <c r="E28" s="520"/>
      <c r="F28" s="60">
        <f t="shared" si="1"/>
        <v>0</v>
      </c>
    </row>
    <row r="29" spans="1:6" ht="25.5">
      <c r="A29" s="108" t="s">
        <v>62</v>
      </c>
      <c r="B29" s="35" t="s">
        <v>44</v>
      </c>
      <c r="C29" s="42" t="s">
        <v>48</v>
      </c>
      <c r="D29" s="37">
        <f>20*0.9+120*0.8</f>
        <v>114</v>
      </c>
      <c r="E29" s="521"/>
      <c r="F29" s="60">
        <f t="shared" si="1"/>
        <v>0</v>
      </c>
    </row>
    <row r="30" spans="1:6" ht="51">
      <c r="A30" s="113" t="s">
        <v>63</v>
      </c>
      <c r="B30" s="169" t="s">
        <v>84</v>
      </c>
      <c r="C30" s="40" t="s">
        <v>47</v>
      </c>
      <c r="D30" s="37">
        <f>22.15*1.1</f>
        <v>24.365000000000002</v>
      </c>
      <c r="E30" s="521"/>
      <c r="F30" s="60">
        <f t="shared" si="1"/>
        <v>0</v>
      </c>
    </row>
    <row r="31" spans="1:6" ht="51">
      <c r="A31" s="108" t="s">
        <v>64</v>
      </c>
      <c r="B31" s="169" t="s">
        <v>85</v>
      </c>
      <c r="C31" s="40" t="s">
        <v>47</v>
      </c>
      <c r="D31" s="37">
        <f>50.9*1.1</f>
        <v>55.99</v>
      </c>
      <c r="E31" s="521"/>
      <c r="F31" s="60">
        <f t="shared" si="1"/>
        <v>0</v>
      </c>
    </row>
    <row r="32" spans="1:6" ht="76.5">
      <c r="A32" s="113" t="s">
        <v>65</v>
      </c>
      <c r="B32" s="35" t="s">
        <v>22</v>
      </c>
      <c r="C32" s="40" t="s">
        <v>47</v>
      </c>
      <c r="D32" s="37">
        <v>425</v>
      </c>
      <c r="E32" s="521"/>
      <c r="F32" s="60">
        <f t="shared" si="1"/>
        <v>0</v>
      </c>
    </row>
    <row r="33" spans="1:7" ht="38.25">
      <c r="A33" s="108" t="s">
        <v>66</v>
      </c>
      <c r="B33" s="173" t="s">
        <v>86</v>
      </c>
      <c r="C33" s="40" t="s">
        <v>47</v>
      </c>
      <c r="D33" s="37">
        <f>10*0.3*1.1</f>
        <v>3.3000000000000003</v>
      </c>
      <c r="E33" s="521"/>
      <c r="F33" s="60">
        <f t="shared" si="1"/>
        <v>0</v>
      </c>
    </row>
    <row r="34" spans="1:7" ht="38.25">
      <c r="A34" s="108" t="s">
        <v>67</v>
      </c>
      <c r="B34" s="173" t="s">
        <v>124</v>
      </c>
      <c r="C34" s="40" t="s">
        <v>47</v>
      </c>
      <c r="D34" s="37">
        <f>40*0.5*1.1</f>
        <v>22</v>
      </c>
      <c r="E34" s="521"/>
      <c r="F34" s="60">
        <f t="shared" si="1"/>
        <v>0</v>
      </c>
    </row>
    <row r="35" spans="1:7" ht="38.25">
      <c r="A35" s="113" t="s">
        <v>68</v>
      </c>
      <c r="B35" s="173" t="s">
        <v>100</v>
      </c>
      <c r="C35" s="40" t="s">
        <v>47</v>
      </c>
      <c r="D35" s="37">
        <f>50*0.25*1.1</f>
        <v>13.750000000000002</v>
      </c>
      <c r="E35" s="521"/>
      <c r="F35" s="60">
        <f t="shared" si="1"/>
        <v>0</v>
      </c>
    </row>
    <row r="36" spans="1:7" ht="38.25">
      <c r="A36" s="113" t="s">
        <v>69</v>
      </c>
      <c r="B36" s="173" t="s">
        <v>168</v>
      </c>
      <c r="C36" s="40" t="s">
        <v>47</v>
      </c>
      <c r="D36" s="37">
        <f>14*5*0.3</f>
        <v>21</v>
      </c>
      <c r="E36" s="521"/>
      <c r="F36" s="60">
        <f t="shared" ref="F36:F37" si="2">D36*E36</f>
        <v>0</v>
      </c>
    </row>
    <row r="37" spans="1:7" ht="25.5">
      <c r="A37" s="108" t="s">
        <v>70</v>
      </c>
      <c r="B37" s="61" t="s">
        <v>45</v>
      </c>
      <c r="C37" s="36" t="s">
        <v>9</v>
      </c>
      <c r="D37" s="37">
        <v>140</v>
      </c>
      <c r="E37" s="521"/>
      <c r="F37" s="60">
        <f t="shared" si="2"/>
        <v>0</v>
      </c>
    </row>
    <row r="38" spans="1:7" ht="38.25">
      <c r="A38" s="113" t="s">
        <v>71</v>
      </c>
      <c r="B38" s="61" t="s">
        <v>167</v>
      </c>
      <c r="C38" s="40" t="s">
        <v>47</v>
      </c>
      <c r="D38" s="37">
        <f>((D10*0.1)+(D11*0.15)+D22+D19+D24+D20+D25-D32)*1.25</f>
        <v>107.425</v>
      </c>
      <c r="E38" s="521"/>
      <c r="F38" s="60">
        <f t="shared" si="1"/>
        <v>0</v>
      </c>
    </row>
    <row r="39" spans="1:7" ht="25.5">
      <c r="A39" s="108" t="s">
        <v>80</v>
      </c>
      <c r="B39" s="35" t="s">
        <v>23</v>
      </c>
      <c r="C39" s="42" t="s">
        <v>48</v>
      </c>
      <c r="D39" s="37">
        <v>50</v>
      </c>
      <c r="E39" s="521"/>
      <c r="F39" s="60">
        <f t="shared" si="1"/>
        <v>0</v>
      </c>
    </row>
    <row r="40" spans="1:7" s="235" customFormat="1">
      <c r="A40" s="108" t="s">
        <v>102</v>
      </c>
      <c r="B40" s="218" t="s">
        <v>115</v>
      </c>
      <c r="C40" s="42" t="s">
        <v>48</v>
      </c>
      <c r="D40" s="37">
        <f>D39*1.1</f>
        <v>55.000000000000007</v>
      </c>
      <c r="E40" s="521"/>
      <c r="F40" s="60">
        <f t="shared" si="1"/>
        <v>0</v>
      </c>
      <c r="G40" s="27"/>
    </row>
    <row r="41" spans="1:7" ht="38.25">
      <c r="A41" s="113" t="s">
        <v>111</v>
      </c>
      <c r="B41" s="61" t="s">
        <v>87</v>
      </c>
      <c r="C41" s="40" t="s">
        <v>47</v>
      </c>
      <c r="D41" s="37">
        <f>D18</f>
        <v>57</v>
      </c>
      <c r="E41" s="521"/>
      <c r="F41" s="60">
        <f t="shared" si="1"/>
        <v>0</v>
      </c>
    </row>
    <row r="42" spans="1:7" ht="26.25" thickBot="1">
      <c r="A42" s="113" t="s">
        <v>495</v>
      </c>
      <c r="B42" s="220" t="s">
        <v>74</v>
      </c>
      <c r="C42" s="40" t="s">
        <v>48</v>
      </c>
      <c r="D42" s="37">
        <f>D41/0.2</f>
        <v>285</v>
      </c>
      <c r="E42" s="521"/>
      <c r="F42" s="60">
        <f t="shared" si="1"/>
        <v>0</v>
      </c>
    </row>
    <row r="43" spans="1:7" ht="15" thickBot="1">
      <c r="A43" s="149" t="s">
        <v>36</v>
      </c>
      <c r="B43" s="150" t="s">
        <v>11</v>
      </c>
      <c r="C43" s="63"/>
      <c r="D43" s="64"/>
      <c r="E43" s="94"/>
      <c r="F43" s="151">
        <f>SUM(F18:F42)</f>
        <v>0</v>
      </c>
    </row>
    <row r="44" spans="1:7" ht="15" thickBot="1">
      <c r="A44" s="109"/>
      <c r="B44" s="65"/>
      <c r="C44" s="66"/>
      <c r="D44" s="67"/>
      <c r="E44" s="95"/>
      <c r="F44" s="88"/>
    </row>
    <row r="45" spans="1:7" ht="15" thickBot="1">
      <c r="A45" s="114"/>
      <c r="B45" s="68" t="s">
        <v>37</v>
      </c>
      <c r="C45" s="69"/>
      <c r="D45" s="70"/>
      <c r="E45" s="96"/>
      <c r="F45" s="97"/>
    </row>
    <row r="46" spans="1:7" ht="63.75">
      <c r="A46" s="111"/>
      <c r="B46" s="71" t="s">
        <v>24</v>
      </c>
      <c r="C46" s="32"/>
      <c r="D46" s="33"/>
      <c r="E46" s="86"/>
      <c r="F46" s="34"/>
    </row>
    <row r="47" spans="1:7" ht="76.5">
      <c r="A47" s="112">
        <v>1</v>
      </c>
      <c r="B47" s="226" t="s">
        <v>98</v>
      </c>
      <c r="C47" s="45" t="s">
        <v>9</v>
      </c>
      <c r="D47" s="103">
        <v>145</v>
      </c>
      <c r="E47" s="536"/>
      <c r="F47" s="62">
        <f t="shared" ref="F47:F50" si="3">D47*E47</f>
        <v>0</v>
      </c>
    </row>
    <row r="48" spans="1:7" ht="191.25">
      <c r="A48" s="159" t="s">
        <v>55</v>
      </c>
      <c r="B48" s="160" t="s">
        <v>99</v>
      </c>
      <c r="C48" s="161"/>
      <c r="D48" s="162"/>
      <c r="E48" s="163"/>
      <c r="F48" s="164"/>
    </row>
    <row r="49" spans="1:45">
      <c r="A49" s="167"/>
      <c r="B49" s="156" t="s">
        <v>30</v>
      </c>
      <c r="C49" s="157" t="s">
        <v>6</v>
      </c>
      <c r="D49" s="158">
        <v>4</v>
      </c>
      <c r="E49" s="543"/>
      <c r="F49" s="168">
        <f t="shared" si="3"/>
        <v>0</v>
      </c>
    </row>
    <row r="50" spans="1:45" ht="51.75" thickBot="1">
      <c r="A50" s="112" t="s">
        <v>56</v>
      </c>
      <c r="B50" s="61" t="s">
        <v>112</v>
      </c>
      <c r="C50" s="36" t="s">
        <v>6</v>
      </c>
      <c r="D50" s="37">
        <v>1</v>
      </c>
      <c r="E50" s="521"/>
      <c r="F50" s="62">
        <f t="shared" si="3"/>
        <v>0</v>
      </c>
    </row>
    <row r="51" spans="1:45" ht="15" thickBot="1">
      <c r="A51" s="146" t="s">
        <v>38</v>
      </c>
      <c r="B51" s="148" t="s">
        <v>26</v>
      </c>
      <c r="C51" s="72"/>
      <c r="D51" s="73"/>
      <c r="E51" s="98"/>
      <c r="F51" s="147">
        <f>SUM(F47:F50)</f>
        <v>0</v>
      </c>
    </row>
    <row r="52" spans="1:45" ht="15" thickBot="1">
      <c r="A52" s="109"/>
      <c r="B52" s="50"/>
      <c r="C52" s="51"/>
      <c r="D52" s="52"/>
      <c r="E52" s="88"/>
      <c r="F52" s="88"/>
    </row>
    <row r="53" spans="1:45" ht="15" thickBot="1">
      <c r="A53" s="110"/>
      <c r="B53" s="74" t="s">
        <v>39</v>
      </c>
      <c r="C53" s="75"/>
      <c r="D53" s="76"/>
      <c r="E53" s="99"/>
      <c r="F53" s="100"/>
    </row>
    <row r="54" spans="1:45" ht="63.75">
      <c r="A54" s="107"/>
      <c r="B54" s="56" t="s">
        <v>8</v>
      </c>
      <c r="C54" s="57"/>
      <c r="D54" s="58"/>
      <c r="E54" s="92"/>
      <c r="F54" s="93"/>
    </row>
    <row r="55" spans="1:45" ht="25.5">
      <c r="A55" s="108" t="s">
        <v>54</v>
      </c>
      <c r="B55" s="236" t="s">
        <v>42</v>
      </c>
      <c r="C55" s="42" t="s">
        <v>9</v>
      </c>
      <c r="D55" s="104">
        <v>140</v>
      </c>
      <c r="E55" s="538"/>
      <c r="F55" s="38">
        <f t="shared" ref="F55:F64" si="4">D55*E55</f>
        <v>0</v>
      </c>
    </row>
    <row r="56" spans="1:45" ht="25.5">
      <c r="A56" s="108" t="s">
        <v>55</v>
      </c>
      <c r="B56" s="236" t="s">
        <v>104</v>
      </c>
      <c r="C56" s="42" t="s">
        <v>9</v>
      </c>
      <c r="D56" s="104">
        <v>140</v>
      </c>
      <c r="E56" s="538"/>
      <c r="F56" s="38">
        <f>D56*E56</f>
        <v>0</v>
      </c>
    </row>
    <row r="57" spans="1:45">
      <c r="A57" s="108" t="s">
        <v>56</v>
      </c>
      <c r="B57" s="236" t="s">
        <v>105</v>
      </c>
      <c r="C57" s="42" t="s">
        <v>9</v>
      </c>
      <c r="D57" s="104">
        <v>140</v>
      </c>
      <c r="E57" s="538"/>
      <c r="F57" s="38">
        <f>D57*E57</f>
        <v>0</v>
      </c>
    </row>
    <row r="58" spans="1:45" ht="25.5">
      <c r="A58" s="108" t="s">
        <v>57</v>
      </c>
      <c r="B58" s="228" t="s">
        <v>116</v>
      </c>
      <c r="C58" s="36" t="s">
        <v>48</v>
      </c>
      <c r="D58" s="37">
        <v>10</v>
      </c>
      <c r="E58" s="539"/>
      <c r="F58" s="38">
        <f>D58*E58</f>
        <v>0</v>
      </c>
    </row>
    <row r="59" spans="1:45" ht="25.5">
      <c r="A59" s="112" t="s">
        <v>58</v>
      </c>
      <c r="B59" s="174" t="s">
        <v>117</v>
      </c>
      <c r="C59" s="36" t="s">
        <v>48</v>
      </c>
      <c r="D59" s="37">
        <f>D58</f>
        <v>10</v>
      </c>
      <c r="E59" s="539"/>
      <c r="F59" s="38">
        <f t="shared" si="4"/>
        <v>0</v>
      </c>
    </row>
    <row r="60" spans="1:45" ht="25.5">
      <c r="A60" s="108" t="s">
        <v>59</v>
      </c>
      <c r="B60" s="245" t="s">
        <v>166</v>
      </c>
      <c r="C60" s="36" t="s">
        <v>48</v>
      </c>
      <c r="D60" s="37">
        <v>40</v>
      </c>
      <c r="E60" s="544"/>
      <c r="F60" s="246">
        <f>D60*E60</f>
        <v>0</v>
      </c>
    </row>
    <row r="61" spans="1:45" ht="25.5">
      <c r="A61" s="112" t="s">
        <v>60</v>
      </c>
      <c r="B61" s="247" t="s">
        <v>165</v>
      </c>
      <c r="C61" s="36" t="s">
        <v>48</v>
      </c>
      <c r="D61" s="37">
        <f>D60</f>
        <v>40</v>
      </c>
      <c r="E61" s="544"/>
      <c r="F61" s="246">
        <f t="shared" ref="F61" si="5">D61*E61</f>
        <v>0</v>
      </c>
    </row>
    <row r="62" spans="1:45" ht="51">
      <c r="A62" s="108" t="s">
        <v>61</v>
      </c>
      <c r="B62" s="217" t="s">
        <v>92</v>
      </c>
      <c r="C62" s="36" t="s">
        <v>9</v>
      </c>
      <c r="D62" s="171">
        <v>5</v>
      </c>
      <c r="E62" s="545"/>
      <c r="F62" s="38">
        <f t="shared" si="4"/>
        <v>0</v>
      </c>
    </row>
    <row r="63" spans="1:45" ht="25.5">
      <c r="A63" s="108" t="s">
        <v>62</v>
      </c>
      <c r="B63" s="39" t="s">
        <v>93</v>
      </c>
      <c r="C63" s="36" t="s">
        <v>47</v>
      </c>
      <c r="D63" s="37">
        <v>5</v>
      </c>
      <c r="E63" s="521"/>
      <c r="F63" s="38">
        <f t="shared" si="4"/>
        <v>0</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row>
    <row r="64" spans="1:45" ht="51">
      <c r="A64" s="108" t="s">
        <v>63</v>
      </c>
      <c r="B64" s="39" t="s">
        <v>21</v>
      </c>
      <c r="C64" s="36" t="s">
        <v>6</v>
      </c>
      <c r="D64" s="37">
        <v>4</v>
      </c>
      <c r="E64" s="521"/>
      <c r="F64" s="38">
        <f t="shared" si="4"/>
        <v>0</v>
      </c>
    </row>
    <row r="65" spans="1:7" s="192" customFormat="1" ht="51">
      <c r="A65" s="108" t="s">
        <v>64</v>
      </c>
      <c r="B65" s="39" t="s">
        <v>95</v>
      </c>
      <c r="C65" s="36" t="s">
        <v>6</v>
      </c>
      <c r="D65" s="37">
        <v>2</v>
      </c>
      <c r="E65" s="521"/>
      <c r="F65" s="38">
        <f>D65*E65</f>
        <v>0</v>
      </c>
      <c r="G65" s="80"/>
    </row>
    <row r="66" spans="1:7" s="192" customFormat="1" ht="39" thickBot="1">
      <c r="A66" s="108" t="s">
        <v>65</v>
      </c>
      <c r="B66" s="39" t="s">
        <v>164</v>
      </c>
      <c r="C66" s="36" t="s">
        <v>6</v>
      </c>
      <c r="D66" s="37">
        <v>1</v>
      </c>
      <c r="E66" s="521"/>
      <c r="F66" s="38">
        <f>D66*E66</f>
        <v>0</v>
      </c>
      <c r="G66" s="80"/>
    </row>
    <row r="67" spans="1:7" ht="15" thickBot="1">
      <c r="A67" s="143" t="s">
        <v>40</v>
      </c>
      <c r="B67" s="144" t="s">
        <v>10</v>
      </c>
      <c r="C67" s="78"/>
      <c r="D67" s="79"/>
      <c r="E67" s="101"/>
      <c r="F67" s="145">
        <f>SUM(F55:F66)</f>
        <v>0</v>
      </c>
    </row>
    <row r="68" spans="1:7" ht="15" thickBot="1"/>
    <row r="69" spans="1:7" ht="15" thickBot="1">
      <c r="A69" s="211"/>
      <c r="B69" s="212" t="s">
        <v>163</v>
      </c>
      <c r="C69" s="213"/>
      <c r="D69" s="214"/>
      <c r="E69" s="215"/>
      <c r="F69" s="216">
        <f>F13+F43+F51+F67</f>
        <v>0</v>
      </c>
    </row>
  </sheetData>
  <sheetProtection algorithmName="SHA-512" hashValue="j1oQuqrkhEq1GupEjnjISGOlG+wjxp7ukolAPD8F/AERVmm8oPdlVkl0S+Jm5W2eaG0MfdMKaeV+S2duGSXlpA==" saltValue="rzbQ07egiYUldRcNWLIas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4" max="16383" man="1"/>
    <brk id="52" max="16383" man="1"/>
  </rowBreaks>
  <ignoredErrors>
    <ignoredError sqref="A6:A12 A48:A50 A55:A66 A18:A3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57"/>
  <sheetViews>
    <sheetView view="pageBreakPreview" topLeftCell="A45" zoomScaleNormal="100" zoomScaleSheetLayoutView="100" workbookViewId="0">
      <selection activeCell="G72" sqref="G72"/>
    </sheetView>
  </sheetViews>
  <sheetFormatPr defaultRowHeight="14.25"/>
  <cols>
    <col min="1" max="1" width="4.85546875" style="115" bestFit="1" customWidth="1"/>
    <col min="2" max="2" width="45.42578125" style="80" customWidth="1"/>
    <col min="3" max="3" width="6.5703125" style="81" bestFit="1" customWidth="1"/>
    <col min="4" max="4" width="8.7109375" style="82" customWidth="1"/>
    <col min="5" max="5" width="10.5703125" style="102" customWidth="1"/>
    <col min="6" max="6" width="13" style="102" customWidth="1"/>
    <col min="7" max="7" width="9.140625" style="27"/>
    <col min="8" max="16384" width="9.140625" style="24"/>
  </cols>
  <sheetData>
    <row r="1" spans="1:6" s="225" customFormat="1" ht="18">
      <c r="A1" s="243"/>
      <c r="B1" s="221" t="s">
        <v>184</v>
      </c>
      <c r="C1" s="222"/>
      <c r="D1" s="223"/>
      <c r="E1" s="224"/>
      <c r="F1" s="224"/>
    </row>
    <row r="2" spans="1:6" ht="15" thickBot="1"/>
    <row r="3" spans="1:6" ht="26.25" thickBot="1">
      <c r="A3" s="105" t="s">
        <v>0</v>
      </c>
      <c r="B3" s="25" t="s">
        <v>1</v>
      </c>
      <c r="C3" s="25" t="s">
        <v>2</v>
      </c>
      <c r="D3" s="26" t="s">
        <v>3</v>
      </c>
      <c r="E3" s="193" t="s">
        <v>4</v>
      </c>
      <c r="F3" s="83" t="s">
        <v>5</v>
      </c>
    </row>
    <row r="4" spans="1:6" ht="15" thickBot="1">
      <c r="A4" s="106"/>
      <c r="B4" s="28" t="s">
        <v>33</v>
      </c>
      <c r="C4" s="29"/>
      <c r="D4" s="30"/>
      <c r="E4" s="84"/>
      <c r="F4" s="85"/>
    </row>
    <row r="5" spans="1:6" ht="25.5">
      <c r="A5" s="249">
        <v>1</v>
      </c>
      <c r="B5" s="35" t="s">
        <v>46</v>
      </c>
      <c r="C5" s="36" t="s">
        <v>9</v>
      </c>
      <c r="D5" s="37">
        <v>160</v>
      </c>
      <c r="E5" s="521"/>
      <c r="F5" s="38">
        <f t="shared" ref="F5:F8" si="0">D5*E5</f>
        <v>0</v>
      </c>
    </row>
    <row r="6" spans="1:6" ht="25.5">
      <c r="A6" s="108" t="s">
        <v>55</v>
      </c>
      <c r="B6" s="39" t="s">
        <v>28</v>
      </c>
      <c r="C6" s="36" t="s">
        <v>6</v>
      </c>
      <c r="D6" s="37">
        <f>160/20+1</f>
        <v>9</v>
      </c>
      <c r="E6" s="521"/>
      <c r="F6" s="38">
        <f t="shared" si="0"/>
        <v>0</v>
      </c>
    </row>
    <row r="7" spans="1:6" ht="38.25">
      <c r="A7" s="107" t="s">
        <v>56</v>
      </c>
      <c r="B7" s="35" t="s">
        <v>83</v>
      </c>
      <c r="C7" s="36" t="s">
        <v>47</v>
      </c>
      <c r="D7" s="37">
        <v>3</v>
      </c>
      <c r="E7" s="521"/>
      <c r="F7" s="38">
        <f t="shared" si="0"/>
        <v>0</v>
      </c>
    </row>
    <row r="8" spans="1:6" ht="39" thickBot="1">
      <c r="A8" s="107" t="s">
        <v>57</v>
      </c>
      <c r="B8" s="35" t="s">
        <v>53</v>
      </c>
      <c r="C8" s="42" t="s">
        <v>48</v>
      </c>
      <c r="D8" s="37">
        <v>105</v>
      </c>
      <c r="E8" s="521"/>
      <c r="F8" s="38">
        <f t="shared" si="0"/>
        <v>0</v>
      </c>
    </row>
    <row r="9" spans="1:6" ht="15" thickBot="1">
      <c r="A9" s="140" t="s">
        <v>34</v>
      </c>
      <c r="B9" s="47" t="s">
        <v>12</v>
      </c>
      <c r="C9" s="48"/>
      <c r="D9" s="49"/>
      <c r="E9" s="87"/>
      <c r="F9" s="141">
        <f>SUM(F5:F8)</f>
        <v>0</v>
      </c>
    </row>
    <row r="10" spans="1:6" ht="15" thickBot="1">
      <c r="A10" s="109"/>
      <c r="B10" s="50"/>
      <c r="C10" s="51"/>
      <c r="D10" s="52"/>
      <c r="E10" s="88"/>
      <c r="F10" s="89"/>
    </row>
    <row r="11" spans="1:6" ht="15" thickBot="1">
      <c r="A11" s="110"/>
      <c r="B11" s="53" t="s">
        <v>35</v>
      </c>
      <c r="C11" s="54"/>
      <c r="D11" s="55"/>
      <c r="E11" s="90"/>
      <c r="F11" s="91"/>
    </row>
    <row r="12" spans="1:6" ht="51">
      <c r="A12" s="111"/>
      <c r="B12" s="56" t="s">
        <v>52</v>
      </c>
      <c r="C12" s="57"/>
      <c r="D12" s="58"/>
      <c r="E12" s="92"/>
      <c r="F12" s="93"/>
    </row>
    <row r="13" spans="1:6" ht="38.25">
      <c r="A13" s="107"/>
      <c r="B13" s="59" t="s">
        <v>25</v>
      </c>
      <c r="C13" s="36"/>
      <c r="D13" s="37"/>
      <c r="E13" s="44"/>
      <c r="F13" s="38"/>
    </row>
    <row r="14" spans="1:6" ht="25.5">
      <c r="A14" s="108" t="s">
        <v>54</v>
      </c>
      <c r="B14" s="169" t="s">
        <v>101</v>
      </c>
      <c r="C14" s="36" t="s">
        <v>47</v>
      </c>
      <c r="D14" s="37">
        <f>105*0.3</f>
        <v>31.5</v>
      </c>
      <c r="E14" s="521"/>
      <c r="F14" s="38">
        <f>D14*E14</f>
        <v>0</v>
      </c>
    </row>
    <row r="15" spans="1:6">
      <c r="A15" s="108" t="s">
        <v>55</v>
      </c>
      <c r="B15" s="35" t="s">
        <v>43</v>
      </c>
      <c r="C15" s="36" t="s">
        <v>47</v>
      </c>
      <c r="D15" s="37">
        <v>5</v>
      </c>
      <c r="E15" s="521"/>
      <c r="F15" s="38">
        <f>D15*E15</f>
        <v>0</v>
      </c>
    </row>
    <row r="16" spans="1:6" ht="38.25">
      <c r="A16" s="152" t="s">
        <v>56</v>
      </c>
      <c r="B16" s="178" t="s">
        <v>78</v>
      </c>
      <c r="C16" s="252"/>
      <c r="D16" s="253"/>
      <c r="E16" s="181"/>
      <c r="F16" s="182"/>
    </row>
    <row r="17" spans="1:10">
      <c r="A17" s="254"/>
      <c r="B17" s="255" t="s">
        <v>77</v>
      </c>
      <c r="C17" s="256" t="s">
        <v>47</v>
      </c>
      <c r="D17" s="257">
        <v>104.4</v>
      </c>
      <c r="E17" s="535"/>
      <c r="F17" s="191">
        <f>D17*E17</f>
        <v>0</v>
      </c>
    </row>
    <row r="18" spans="1:10" ht="38.25">
      <c r="A18" s="108" t="s">
        <v>57</v>
      </c>
      <c r="B18" s="218" t="s">
        <v>29</v>
      </c>
      <c r="C18" s="36" t="s">
        <v>48</v>
      </c>
      <c r="D18" s="37">
        <f>115*2*1.2</f>
        <v>276</v>
      </c>
      <c r="E18" s="520"/>
      <c r="F18" s="60">
        <f t="shared" ref="F18:F29" si="1">D18*E18</f>
        <v>0</v>
      </c>
    </row>
    <row r="19" spans="1:10" ht="63.75">
      <c r="A19" s="108" t="s">
        <v>58</v>
      </c>
      <c r="B19" s="35" t="s">
        <v>73</v>
      </c>
      <c r="C19" s="36" t="s">
        <v>6</v>
      </c>
      <c r="D19" s="37">
        <v>9</v>
      </c>
      <c r="E19" s="520"/>
      <c r="F19" s="60">
        <f t="shared" si="1"/>
        <v>0</v>
      </c>
    </row>
    <row r="20" spans="1:10" ht="25.5">
      <c r="A20" s="108" t="s">
        <v>59</v>
      </c>
      <c r="B20" s="218" t="s">
        <v>44</v>
      </c>
      <c r="C20" s="42" t="s">
        <v>48</v>
      </c>
      <c r="D20" s="37">
        <f>115*0.8</f>
        <v>92</v>
      </c>
      <c r="E20" s="521"/>
      <c r="F20" s="60">
        <f t="shared" si="1"/>
        <v>0</v>
      </c>
    </row>
    <row r="21" spans="1:10" ht="51">
      <c r="A21" s="108" t="s">
        <v>60</v>
      </c>
      <c r="B21" s="169" t="s">
        <v>195</v>
      </c>
      <c r="C21" s="36" t="s">
        <v>47</v>
      </c>
      <c r="D21" s="37">
        <f>11.5*1.1</f>
        <v>12.65</v>
      </c>
      <c r="E21" s="521"/>
      <c r="F21" s="60">
        <f t="shared" si="1"/>
        <v>0</v>
      </c>
    </row>
    <row r="22" spans="1:10" ht="51">
      <c r="A22" s="108" t="s">
        <v>61</v>
      </c>
      <c r="B22" s="169" t="s">
        <v>85</v>
      </c>
      <c r="C22" s="36" t="s">
        <v>47</v>
      </c>
      <c r="D22" s="37">
        <f>21.85*1.1</f>
        <v>24.035000000000004</v>
      </c>
      <c r="E22" s="521"/>
      <c r="F22" s="60">
        <f t="shared" si="1"/>
        <v>0</v>
      </c>
    </row>
    <row r="23" spans="1:10" ht="76.5">
      <c r="A23" s="108" t="s">
        <v>62</v>
      </c>
      <c r="B23" s="35" t="s">
        <v>22</v>
      </c>
      <c r="C23" s="36" t="s">
        <v>47</v>
      </c>
      <c r="D23" s="37">
        <v>53.59</v>
      </c>
      <c r="E23" s="521"/>
      <c r="F23" s="60">
        <f t="shared" si="1"/>
        <v>0</v>
      </c>
    </row>
    <row r="24" spans="1:10" ht="38.25">
      <c r="A24" s="108" t="s">
        <v>63</v>
      </c>
      <c r="B24" s="173" t="s">
        <v>86</v>
      </c>
      <c r="C24" s="36" t="s">
        <v>47</v>
      </c>
      <c r="D24" s="37">
        <f>105*0.3</f>
        <v>31.5</v>
      </c>
      <c r="E24" s="521"/>
      <c r="F24" s="60">
        <f t="shared" si="1"/>
        <v>0</v>
      </c>
    </row>
    <row r="25" spans="1:10" ht="38.25">
      <c r="A25" s="108" t="s">
        <v>64</v>
      </c>
      <c r="B25" s="173" t="s">
        <v>100</v>
      </c>
      <c r="C25" s="36" t="s">
        <v>47</v>
      </c>
      <c r="D25" s="37">
        <f>105*0.25</f>
        <v>26.25</v>
      </c>
      <c r="E25" s="521"/>
      <c r="F25" s="60">
        <f t="shared" si="1"/>
        <v>0</v>
      </c>
    </row>
    <row r="26" spans="1:10" ht="25.5">
      <c r="A26" s="108" t="s">
        <v>65</v>
      </c>
      <c r="B26" s="61" t="s">
        <v>45</v>
      </c>
      <c r="C26" s="36" t="s">
        <v>9</v>
      </c>
      <c r="D26" s="37">
        <v>115</v>
      </c>
      <c r="E26" s="521"/>
      <c r="F26" s="60">
        <f t="shared" si="1"/>
        <v>0</v>
      </c>
    </row>
    <row r="27" spans="1:10" ht="38.25">
      <c r="A27" s="108" t="s">
        <v>66</v>
      </c>
      <c r="B27" s="61" t="s">
        <v>475</v>
      </c>
      <c r="C27" s="36" t="s">
        <v>47</v>
      </c>
      <c r="D27" s="37">
        <f>((D8*0.1+D14+D15+D17)-D23)*1.25</f>
        <v>122.2625</v>
      </c>
      <c r="E27" s="521"/>
      <c r="F27" s="60">
        <f t="shared" si="1"/>
        <v>0</v>
      </c>
      <c r="J27" s="24">
        <f>D27/1.25</f>
        <v>97.81</v>
      </c>
    </row>
    <row r="28" spans="1:10" ht="25.5">
      <c r="A28" s="108" t="s">
        <v>67</v>
      </c>
      <c r="B28" s="35" t="s">
        <v>23</v>
      </c>
      <c r="C28" s="42" t="s">
        <v>48</v>
      </c>
      <c r="D28" s="37">
        <v>105</v>
      </c>
      <c r="E28" s="521"/>
      <c r="F28" s="60">
        <f t="shared" si="1"/>
        <v>0</v>
      </c>
    </row>
    <row r="29" spans="1:10" s="235" customFormat="1" ht="15" thickBot="1">
      <c r="A29" s="108" t="s">
        <v>68</v>
      </c>
      <c r="B29" s="218" t="s">
        <v>115</v>
      </c>
      <c r="C29" s="42" t="s">
        <v>48</v>
      </c>
      <c r="D29" s="37">
        <f>D28*1.1</f>
        <v>115.50000000000001</v>
      </c>
      <c r="E29" s="521"/>
      <c r="F29" s="60">
        <f t="shared" si="1"/>
        <v>0</v>
      </c>
      <c r="G29" s="27"/>
    </row>
    <row r="30" spans="1:10" ht="15" thickBot="1">
      <c r="A30" s="149" t="s">
        <v>36</v>
      </c>
      <c r="B30" s="150" t="s">
        <v>11</v>
      </c>
      <c r="C30" s="63"/>
      <c r="D30" s="64"/>
      <c r="E30" s="94"/>
      <c r="F30" s="151">
        <f>SUM(F14:F29)</f>
        <v>0</v>
      </c>
    </row>
    <row r="31" spans="1:10" ht="15" thickBot="1">
      <c r="A31" s="109"/>
      <c r="B31" s="258"/>
      <c r="C31" s="259"/>
      <c r="D31" s="260"/>
      <c r="E31" s="95"/>
      <c r="F31" s="88"/>
    </row>
    <row r="32" spans="1:10" ht="15" thickBot="1">
      <c r="A32" s="114"/>
      <c r="B32" s="68" t="s">
        <v>37</v>
      </c>
      <c r="C32" s="69"/>
      <c r="D32" s="70"/>
      <c r="E32" s="96"/>
      <c r="F32" s="97"/>
    </row>
    <row r="33" spans="1:7" ht="63.75">
      <c r="A33" s="111"/>
      <c r="B33" s="71" t="s">
        <v>24</v>
      </c>
      <c r="C33" s="32"/>
      <c r="D33" s="33"/>
      <c r="E33" s="86"/>
      <c r="F33" s="34"/>
    </row>
    <row r="34" spans="1:7" ht="38.25">
      <c r="A34" s="112">
        <v>1</v>
      </c>
      <c r="B34" s="220" t="s">
        <v>502</v>
      </c>
      <c r="C34" s="36" t="s">
        <v>9</v>
      </c>
      <c r="D34" s="37">
        <v>118</v>
      </c>
      <c r="E34" s="536"/>
      <c r="F34" s="62">
        <f t="shared" ref="F34:F44" si="2">D34*E34</f>
        <v>0</v>
      </c>
    </row>
    <row r="35" spans="1:7" ht="25.5">
      <c r="A35" s="112" t="s">
        <v>55</v>
      </c>
      <c r="B35" s="220" t="s">
        <v>476</v>
      </c>
      <c r="C35" s="36" t="s">
        <v>9</v>
      </c>
      <c r="D35" s="37">
        <v>47</v>
      </c>
      <c r="E35" s="536"/>
      <c r="F35" s="62">
        <f t="shared" si="2"/>
        <v>0</v>
      </c>
    </row>
    <row r="36" spans="1:7" ht="25.5">
      <c r="A36" s="112" t="s">
        <v>56</v>
      </c>
      <c r="B36" s="220" t="s">
        <v>196</v>
      </c>
      <c r="C36" s="36"/>
      <c r="D36" s="37"/>
      <c r="E36" s="261"/>
      <c r="F36" s="62"/>
    </row>
    <row r="37" spans="1:7">
      <c r="A37" s="165"/>
      <c r="B37" s="262" t="s">
        <v>197</v>
      </c>
      <c r="C37" s="57" t="s">
        <v>6</v>
      </c>
      <c r="D37" s="58">
        <v>8</v>
      </c>
      <c r="E37" s="537"/>
      <c r="F37" s="166">
        <f t="shared" si="2"/>
        <v>0</v>
      </c>
    </row>
    <row r="38" spans="1:7">
      <c r="A38" s="165"/>
      <c r="B38" s="262" t="s">
        <v>198</v>
      </c>
      <c r="C38" s="57" t="s">
        <v>6</v>
      </c>
      <c r="D38" s="58">
        <v>8</v>
      </c>
      <c r="E38" s="537"/>
      <c r="F38" s="166">
        <f t="shared" si="2"/>
        <v>0</v>
      </c>
    </row>
    <row r="39" spans="1:7">
      <c r="A39" s="112" t="s">
        <v>57</v>
      </c>
      <c r="B39" s="220" t="s">
        <v>199</v>
      </c>
      <c r="C39" s="36"/>
      <c r="D39" s="37"/>
      <c r="E39" s="261"/>
      <c r="F39" s="62"/>
    </row>
    <row r="40" spans="1:7">
      <c r="A40" s="165"/>
      <c r="B40" s="262" t="s">
        <v>200</v>
      </c>
      <c r="C40" s="57" t="s">
        <v>6</v>
      </c>
      <c r="D40" s="58">
        <v>6</v>
      </c>
      <c r="E40" s="537"/>
      <c r="F40" s="166">
        <f t="shared" si="2"/>
        <v>0</v>
      </c>
    </row>
    <row r="41" spans="1:7">
      <c r="A41" s="165"/>
      <c r="B41" s="262" t="s">
        <v>201</v>
      </c>
      <c r="C41" s="57" t="s">
        <v>6</v>
      </c>
      <c r="D41" s="58">
        <v>1</v>
      </c>
      <c r="E41" s="537"/>
      <c r="F41" s="166">
        <f t="shared" si="2"/>
        <v>0</v>
      </c>
    </row>
    <row r="42" spans="1:7" ht="38.25">
      <c r="A42" s="165"/>
      <c r="B42" s="263" t="s">
        <v>202</v>
      </c>
      <c r="C42" s="57" t="s">
        <v>6</v>
      </c>
      <c r="D42" s="58">
        <v>1</v>
      </c>
      <c r="E42" s="537"/>
      <c r="F42" s="166">
        <f t="shared" si="2"/>
        <v>0</v>
      </c>
    </row>
    <row r="43" spans="1:7" s="235" customFormat="1" ht="76.5">
      <c r="A43" s="165" t="s">
        <v>58</v>
      </c>
      <c r="B43" s="264" t="s">
        <v>203</v>
      </c>
      <c r="C43" s="57" t="s">
        <v>110</v>
      </c>
      <c r="D43" s="58">
        <v>47</v>
      </c>
      <c r="E43" s="537"/>
      <c r="F43" s="166">
        <f t="shared" si="2"/>
        <v>0</v>
      </c>
      <c r="G43" s="27"/>
    </row>
    <row r="44" spans="1:7" ht="51.75" thickBot="1">
      <c r="A44" s="112" t="s">
        <v>59</v>
      </c>
      <c r="B44" s="61" t="s">
        <v>204</v>
      </c>
      <c r="C44" s="36" t="s">
        <v>6</v>
      </c>
      <c r="D44" s="37">
        <v>1</v>
      </c>
      <c r="E44" s="521"/>
      <c r="F44" s="62">
        <f t="shared" si="2"/>
        <v>0</v>
      </c>
    </row>
    <row r="45" spans="1:7" ht="15" thickBot="1">
      <c r="A45" s="146" t="s">
        <v>38</v>
      </c>
      <c r="B45" s="148" t="s">
        <v>26</v>
      </c>
      <c r="C45" s="72"/>
      <c r="D45" s="73"/>
      <c r="E45" s="98"/>
      <c r="F45" s="147">
        <f>SUM(F34:F44)</f>
        <v>0</v>
      </c>
    </row>
    <row r="46" spans="1:7" ht="15" thickBot="1">
      <c r="A46" s="109"/>
      <c r="B46" s="50"/>
      <c r="C46" s="51"/>
      <c r="D46" s="52"/>
      <c r="E46" s="88"/>
      <c r="F46" s="88"/>
    </row>
    <row r="47" spans="1:7" ht="15" thickBot="1">
      <c r="A47" s="110"/>
      <c r="B47" s="74" t="s">
        <v>39</v>
      </c>
      <c r="C47" s="75"/>
      <c r="D47" s="76"/>
      <c r="E47" s="99"/>
      <c r="F47" s="100"/>
    </row>
    <row r="48" spans="1:7" ht="63.75">
      <c r="A48" s="107"/>
      <c r="B48" s="56" t="s">
        <v>8</v>
      </c>
      <c r="C48" s="57"/>
      <c r="D48" s="58"/>
      <c r="E48" s="92"/>
      <c r="F48" s="93"/>
    </row>
    <row r="49" spans="1:7" ht="25.5">
      <c r="A49" s="108" t="s">
        <v>54</v>
      </c>
      <c r="B49" s="77" t="s">
        <v>205</v>
      </c>
      <c r="C49" s="42" t="s">
        <v>9</v>
      </c>
      <c r="D49" s="104">
        <v>160</v>
      </c>
      <c r="E49" s="538"/>
      <c r="F49" s="38">
        <f>D49*E49</f>
        <v>0</v>
      </c>
    </row>
    <row r="50" spans="1:7" ht="25.5">
      <c r="A50" s="108" t="s">
        <v>55</v>
      </c>
      <c r="B50" s="228" t="s">
        <v>116</v>
      </c>
      <c r="C50" s="36" t="s">
        <v>48</v>
      </c>
      <c r="D50" s="37">
        <v>105</v>
      </c>
      <c r="E50" s="539"/>
      <c r="F50" s="38">
        <f>D50*E50</f>
        <v>0</v>
      </c>
    </row>
    <row r="51" spans="1:7" s="192" customFormat="1" ht="25.5">
      <c r="A51" s="112" t="s">
        <v>56</v>
      </c>
      <c r="B51" s="228" t="s">
        <v>117</v>
      </c>
      <c r="C51" s="36" t="s">
        <v>48</v>
      </c>
      <c r="D51" s="37">
        <v>105</v>
      </c>
      <c r="E51" s="539"/>
      <c r="F51" s="38">
        <f t="shared" ref="F51:F53" si="3">D51*E51</f>
        <v>0</v>
      </c>
      <c r="G51" s="80"/>
    </row>
    <row r="52" spans="1:7" s="192" customFormat="1" ht="25.5">
      <c r="A52" s="108" t="s">
        <v>57</v>
      </c>
      <c r="B52" s="39" t="s">
        <v>93</v>
      </c>
      <c r="C52" s="36" t="s">
        <v>47</v>
      </c>
      <c r="D52" s="37">
        <v>5</v>
      </c>
      <c r="E52" s="521"/>
      <c r="F52" s="38">
        <f t="shared" si="3"/>
        <v>0</v>
      </c>
      <c r="G52" s="80"/>
    </row>
    <row r="53" spans="1:7" ht="51">
      <c r="A53" s="108" t="s">
        <v>58</v>
      </c>
      <c r="B53" s="39" t="s">
        <v>21</v>
      </c>
      <c r="C53" s="36" t="s">
        <v>6</v>
      </c>
      <c r="D53" s="37">
        <v>5</v>
      </c>
      <c r="E53" s="521"/>
      <c r="F53" s="38">
        <f t="shared" si="3"/>
        <v>0</v>
      </c>
    </row>
    <row r="54" spans="1:7" ht="51.75" thickBot="1">
      <c r="A54" s="108" t="s">
        <v>59</v>
      </c>
      <c r="B54" s="39" t="s">
        <v>95</v>
      </c>
      <c r="C54" s="36" t="s">
        <v>6</v>
      </c>
      <c r="D54" s="37">
        <v>4</v>
      </c>
      <c r="E54" s="521"/>
      <c r="F54" s="38">
        <f>D54*E54</f>
        <v>0</v>
      </c>
    </row>
    <row r="55" spans="1:7" ht="15" thickBot="1">
      <c r="A55" s="143" t="s">
        <v>40</v>
      </c>
      <c r="B55" s="144" t="s">
        <v>10</v>
      </c>
      <c r="C55" s="78"/>
      <c r="D55" s="79"/>
      <c r="E55" s="101"/>
      <c r="F55" s="145">
        <f>SUM(F49:F54)</f>
        <v>0</v>
      </c>
    </row>
    <row r="56" spans="1:7" ht="15" thickBot="1"/>
    <row r="57" spans="1:7" ht="15" thickBot="1">
      <c r="A57" s="211"/>
      <c r="B57" s="212" t="s">
        <v>206</v>
      </c>
      <c r="C57" s="213"/>
      <c r="D57" s="214"/>
      <c r="E57" s="215"/>
      <c r="F57" s="216">
        <f>F9+F30+F45+F55</f>
        <v>0</v>
      </c>
    </row>
  </sheetData>
  <sheetProtection algorithmName="SHA-512" hashValue="knUxyIGP9P9iLwZxv2ryKk64kEg47E2ph0VLvnYqiEMl6PM4qAQr25YYnwIB4FpGMjiTV5yFSHM9S72LqnlDJA==" saltValue="G/dJ7Bat5kgwYtDiFB825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22" max="5" man="1"/>
  </rowBreaks>
  <ignoredErrors>
    <ignoredError sqref="A49:A54 A35:A44 A14:A29 A6: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13</vt:i4>
      </vt:variant>
    </vt:vector>
  </HeadingPairs>
  <TitlesOfParts>
    <vt:vector size="26" baseType="lpstr">
      <vt:lpstr>REKAPITULACIJA</vt:lpstr>
      <vt:lpstr>PRIPRAVLJALNA DELA</vt:lpstr>
      <vt:lpstr>ŠTORE 05-1</vt:lpstr>
      <vt:lpstr>ŠTORE 05-1.1</vt:lpstr>
      <vt:lpstr>ŠTORE 05-1.1.1</vt:lpstr>
      <vt:lpstr>ŠTORE 05-1.2</vt:lpstr>
      <vt:lpstr>ŠTORE 05-1.3</vt:lpstr>
      <vt:lpstr>ŠTORE 05-2</vt:lpstr>
      <vt:lpstr>ŠTORE TL.05-T1</vt:lpstr>
      <vt:lpstr>Črpališče Č3</vt:lpstr>
      <vt:lpstr>Črpališče elektro oprema Č3</vt:lpstr>
      <vt:lpstr>Črpališče-NN prikljucek Č3</vt:lpstr>
      <vt:lpstr>ZAKLJUCNA DELA</vt:lpstr>
      <vt:lpstr>'Črpališče elektro oprema Č3'!Področje_tiskanja</vt:lpstr>
      <vt:lpstr>REKAPITULACIJA!Področje_tiskanja</vt:lpstr>
      <vt:lpstr>'ŠTORE 05-1.1'!Področje_tiskanja</vt:lpstr>
      <vt:lpstr>'ŠTORE 05-1.2'!Področje_tiskanja</vt:lpstr>
      <vt:lpstr>'ŠTORE TL.05-T1'!Področje_tiskanja</vt:lpstr>
      <vt:lpstr>'Črpališče Č3'!Tiskanje_naslovov</vt:lpstr>
      <vt:lpstr>'ŠTORE 05-1'!Tiskanje_naslovov</vt:lpstr>
      <vt:lpstr>'ŠTORE 05-1.1'!Tiskanje_naslovov</vt:lpstr>
      <vt:lpstr>'ŠTORE 05-1.1.1'!Tiskanje_naslovov</vt:lpstr>
      <vt:lpstr>'ŠTORE 05-1.2'!Tiskanje_naslovov</vt:lpstr>
      <vt:lpstr>'ŠTORE 05-1.3'!Tiskanje_naslovov</vt:lpstr>
      <vt:lpstr>'ŠTORE 05-2'!Tiskanje_naslovov</vt:lpstr>
      <vt:lpstr>'ŠTORE TL.05-T1'!Tiskanje_naslovov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Primož Kroflič</cp:lastModifiedBy>
  <cp:lastPrinted>2020-03-03T08:16:33Z</cp:lastPrinted>
  <dcterms:created xsi:type="dcterms:W3CDTF">1997-01-31T12:20:41Z</dcterms:created>
  <dcterms:modified xsi:type="dcterms:W3CDTF">2020-09-16T06:36:41Z</dcterms:modified>
</cp:coreProperties>
</file>