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a_Predračuni - popisi\SKUPAJ ZBRANI POPISI ZA RAZPIS AGLOM CELJE\Popravki 14092020\"/>
    </mc:Choice>
  </mc:AlternateContent>
  <xr:revisionPtr revIDLastSave="0" documentId="13_ncr:1_{8D5C46E8-FF74-4160-852E-C7EB81FDACF8}" xr6:coauthVersionLast="45" xr6:coauthVersionMax="45" xr10:uidLastSave="{00000000-0000-0000-0000-000000000000}"/>
  <bookViews>
    <workbookView xWindow="-120" yWindow="-120" windowWidth="29040" windowHeight="15840" tabRatio="819" firstSheet="11" xr2:uid="{00000000-000D-0000-FFFF-FFFF00000000}"/>
  </bookViews>
  <sheets>
    <sheet name="REKAPITULACIJA" sheetId="1" r:id="rId1"/>
    <sheet name="PRIPRAVLJALNA DELA" sheetId="5" r:id="rId2"/>
    <sheet name="ŠTORE 01-1" sheetId="36" r:id="rId3"/>
    <sheet name="ŠTORE 01-1.1" sheetId="35" r:id="rId4"/>
    <sheet name="ŠTORE 01-1.2" sheetId="34" r:id="rId5"/>
    <sheet name="ŠTORE 01-1.3" sheetId="33" r:id="rId6"/>
    <sheet name="ŠTORE 01-1.4" sheetId="32" r:id="rId7"/>
    <sheet name="ŠTORE 01-2" sheetId="31" r:id="rId8"/>
    <sheet name="ŠTORE 01-2.1" sheetId="30" r:id="rId9"/>
    <sheet name="ŠTORE 01-2.1.1" sheetId="29" r:id="rId10"/>
    <sheet name="ŠTORE 01-3" sheetId="28" r:id="rId11"/>
    <sheet name="ŠTORE 01-3.1" sheetId="24" r:id="rId12"/>
    <sheet name="ŠTORE 01-3.2" sheetId="26" r:id="rId13"/>
    <sheet name="ŠTORE 01-3.3" sheetId="27" r:id="rId14"/>
    <sheet name="ŠTORE 01-T2" sheetId="37" r:id="rId15"/>
    <sheet name="Č1" sheetId="38" r:id="rId16"/>
    <sheet name="Č2" sheetId="39" r:id="rId17"/>
    <sheet name="Č1 NN priključek" sheetId="41" r:id="rId18"/>
    <sheet name="Č1 elektrooprema" sheetId="40" r:id="rId19"/>
    <sheet name="Č2 NN priključek" sheetId="42" r:id="rId20"/>
    <sheet name="Č2 elekrooprema" sheetId="43" r:id="rId21"/>
    <sheet name="ZAKLJUCNA DELA" sheetId="6" r:id="rId22"/>
  </sheets>
  <definedNames>
    <definedName name="_xlnm.Print_Area" localSheetId="15">Č1!$A$1:$F$178</definedName>
    <definedName name="_xlnm.Print_Area" localSheetId="16">Č2!$A$1:$F$166</definedName>
    <definedName name="_xlnm.Print_Area" localSheetId="2">'ŠTORE 01-1'!$A$1:$F$106</definedName>
    <definedName name="_xlnm.Print_Area" localSheetId="3">'ŠTORE 01-1.1'!$A$1:$F$83</definedName>
    <definedName name="_xlnm.Print_Area" localSheetId="4">'ŠTORE 01-1.2'!$A$1:$F$69</definedName>
    <definedName name="_xlnm.Print_Area" localSheetId="5">'ŠTORE 01-1.3'!$A$1:$F$79</definedName>
    <definedName name="_xlnm.Print_Area" localSheetId="6">'ŠTORE 01-1.4'!$A$1:$F$70</definedName>
    <definedName name="_xlnm.Print_Area" localSheetId="7">'ŠTORE 01-2'!$A$1:$F$79</definedName>
    <definedName name="_xlnm.Print_Area" localSheetId="8">'ŠTORE 01-2.1'!$A$1:$F$66</definedName>
    <definedName name="_xlnm.Print_Area" localSheetId="9">'ŠTORE 01-2.1.1'!$A$1:$F$65</definedName>
    <definedName name="_xlnm.Print_Area" localSheetId="10">'ŠTORE 01-3'!$A$1:$F$73</definedName>
    <definedName name="_xlnm.Print_Area" localSheetId="11">'ŠTORE 01-3.1'!$A$1:$F$67</definedName>
    <definedName name="_xlnm.Print_Area" localSheetId="12">'ŠTORE 01-3.2'!$A$1:$F$55</definedName>
    <definedName name="_xlnm.Print_Area" localSheetId="13">'ŠTORE 01-3.3'!$A$1:$F$70</definedName>
    <definedName name="_xlnm.Print_Titles" localSheetId="15">Č1!$1:$1</definedName>
    <definedName name="_xlnm.Print_Titles" localSheetId="18">'Č1 elektrooprema'!$5:$5</definedName>
    <definedName name="_xlnm.Print_Titles" localSheetId="17">'Č1 NN priključek'!$4:$4</definedName>
    <definedName name="_xlnm.Print_Titles" localSheetId="16">Č2!$1:$1</definedName>
    <definedName name="_xlnm.Print_Titles" localSheetId="20">'Č2 elekrooprema'!$5:$5</definedName>
    <definedName name="_xlnm.Print_Titles" localSheetId="19">'Č2 NN priključek'!$4:$4</definedName>
    <definedName name="_xlnm.Print_Titles" localSheetId="2">'ŠTORE 01-1'!$3:$3</definedName>
    <definedName name="_xlnm.Print_Titles" localSheetId="3">'ŠTORE 01-1.1'!$3:$3</definedName>
    <definedName name="_xlnm.Print_Titles" localSheetId="4">'ŠTORE 01-1.2'!$3:$3</definedName>
    <definedName name="_xlnm.Print_Titles" localSheetId="5">'ŠTORE 01-1.3'!$3:$3</definedName>
    <definedName name="_xlnm.Print_Titles" localSheetId="6">'ŠTORE 01-1.4'!$3:$3</definedName>
    <definedName name="_xlnm.Print_Titles" localSheetId="7">'ŠTORE 01-2'!$3:$3</definedName>
    <definedName name="_xlnm.Print_Titles" localSheetId="8">'ŠTORE 01-2.1'!$3:$3</definedName>
    <definedName name="_xlnm.Print_Titles" localSheetId="11">'ŠTORE 01-3.1'!$3:$3</definedName>
    <definedName name="_xlnm.Print_Titles" localSheetId="12">'ŠTORE 01-3.2'!$3:$3</definedName>
    <definedName name="_xlnm.Print_Titles" localSheetId="13">'ŠTORE 01-3.3'!$3:$3</definedName>
    <definedName name="_xlnm.Print_Titles" localSheetId="14">'ŠTORE 01-T2'!$3:$3</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40" l="1"/>
  <c r="F104" i="39" l="1"/>
  <c r="F105" i="38"/>
  <c r="F9" i="42" l="1"/>
  <c r="F10" i="42"/>
  <c r="F11" i="42"/>
  <c r="F12" i="42"/>
  <c r="F13" i="42"/>
  <c r="F14" i="42"/>
  <c r="F22" i="42"/>
  <c r="F25" i="42" s="1"/>
  <c r="F16" i="42" l="1"/>
  <c r="F106" i="39" l="1"/>
  <c r="F107" i="38"/>
  <c r="F63" i="28" l="1"/>
  <c r="F76" i="31" l="1"/>
  <c r="D33" i="37" l="1"/>
  <c r="D35" i="37" s="1"/>
  <c r="F33" i="37"/>
  <c r="D29" i="37"/>
  <c r="F29" i="37" s="1"/>
  <c r="D21" i="37"/>
  <c r="D19" i="37"/>
  <c r="D16" i="37"/>
  <c r="D32" i="37" s="1"/>
  <c r="D33" i="27"/>
  <c r="D29" i="27"/>
  <c r="D25" i="27"/>
  <c r="D32" i="31"/>
  <c r="F65" i="32"/>
  <c r="F64" i="32"/>
  <c r="F63" i="32"/>
  <c r="D24" i="33" l="1"/>
  <c r="D37" i="36"/>
  <c r="D28" i="36"/>
  <c r="E141" i="43" l="1"/>
  <c r="F141" i="43" s="1"/>
  <c r="E140" i="43"/>
  <c r="F140" i="43" s="1"/>
  <c r="E138" i="43"/>
  <c r="F136" i="43"/>
  <c r="F135" i="43"/>
  <c r="F134" i="43"/>
  <c r="F133" i="43"/>
  <c r="F132" i="43"/>
  <c r="F131" i="43"/>
  <c r="E125" i="43"/>
  <c r="F120" i="43"/>
  <c r="F119" i="43"/>
  <c r="F118" i="43"/>
  <c r="E114" i="43"/>
  <c r="F112" i="43"/>
  <c r="F111" i="43"/>
  <c r="F110" i="43"/>
  <c r="F109" i="43"/>
  <c r="F108" i="43"/>
  <c r="E106" i="43"/>
  <c r="F101" i="43"/>
  <c r="F100" i="43"/>
  <c r="F99" i="43"/>
  <c r="F98" i="43"/>
  <c r="F97" i="43"/>
  <c r="F96" i="43"/>
  <c r="F95" i="43"/>
  <c r="F94" i="43"/>
  <c r="F93" i="43"/>
  <c r="F92" i="43"/>
  <c r="F91" i="43"/>
  <c r="F90" i="43"/>
  <c r="F89" i="43"/>
  <c r="F88" i="43"/>
  <c r="F87" i="43"/>
  <c r="F86" i="43"/>
  <c r="F85" i="43"/>
  <c r="F84" i="43"/>
  <c r="F83" i="43"/>
  <c r="F82" i="43"/>
  <c r="F81" i="43"/>
  <c r="F80" i="43"/>
  <c r="F72" i="43"/>
  <c r="F71" i="43"/>
  <c r="F70" i="43"/>
  <c r="F69" i="43"/>
  <c r="F68" i="43"/>
  <c r="E66" i="43"/>
  <c r="E65" i="43"/>
  <c r="E64"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E10" i="43"/>
  <c r="E9" i="43"/>
  <c r="E6" i="43"/>
  <c r="F6" i="43" s="1"/>
  <c r="F68" i="42"/>
  <c r="F67" i="42"/>
  <c r="F66" i="42"/>
  <c r="F65" i="42"/>
  <c r="F64" i="42"/>
  <c r="F63" i="42"/>
  <c r="F62" i="42"/>
  <c r="F61" i="42"/>
  <c r="F60" i="42"/>
  <c r="F48" i="42"/>
  <c r="F47" i="42"/>
  <c r="F46" i="42"/>
  <c r="F45" i="42"/>
  <c r="F44" i="42"/>
  <c r="F43" i="42"/>
  <c r="F35" i="42"/>
  <c r="F34" i="42"/>
  <c r="F33" i="42"/>
  <c r="F32" i="42"/>
  <c r="F31" i="42"/>
  <c r="F30" i="42"/>
  <c r="E25" i="42"/>
  <c r="F57" i="42"/>
  <c r="F85" i="41"/>
  <c r="F84" i="41"/>
  <c r="F83" i="41"/>
  <c r="F82" i="41"/>
  <c r="F81" i="41"/>
  <c r="F80" i="41"/>
  <c r="F79" i="41"/>
  <c r="F78" i="41"/>
  <c r="F77" i="41"/>
  <c r="F65" i="41"/>
  <c r="F64" i="41"/>
  <c r="F63" i="41"/>
  <c r="F62" i="41"/>
  <c r="F61" i="41"/>
  <c r="F60" i="41"/>
  <c r="F59" i="41"/>
  <c r="F58" i="41"/>
  <c r="F57" i="41"/>
  <c r="F56" i="41"/>
  <c r="F55" i="41"/>
  <c r="F54" i="41"/>
  <c r="F53" i="41"/>
  <c r="F52" i="41"/>
  <c r="F44" i="41"/>
  <c r="F43" i="41"/>
  <c r="F42" i="41"/>
  <c r="F41" i="41"/>
  <c r="F40" i="41"/>
  <c r="F39" i="41"/>
  <c r="F38" i="41"/>
  <c r="F37" i="41"/>
  <c r="F36" i="41"/>
  <c r="C35" i="41"/>
  <c r="F35" i="41" s="1"/>
  <c r="C34" i="41"/>
  <c r="F34" i="41" s="1"/>
  <c r="F33" i="41"/>
  <c r="F32" i="41"/>
  <c r="F31" i="41"/>
  <c r="F24" i="41"/>
  <c r="F23" i="41"/>
  <c r="F22" i="41"/>
  <c r="F14" i="41"/>
  <c r="F13" i="41"/>
  <c r="F11" i="41"/>
  <c r="F10" i="41"/>
  <c r="F9" i="41"/>
  <c r="E141" i="40"/>
  <c r="F141" i="40" s="1"/>
  <c r="E140" i="40"/>
  <c r="F140" i="40" s="1"/>
  <c r="E138" i="40"/>
  <c r="F136" i="40"/>
  <c r="F135" i="40"/>
  <c r="F134" i="40"/>
  <c r="F133" i="40"/>
  <c r="F132" i="40"/>
  <c r="F131" i="40"/>
  <c r="E125" i="40"/>
  <c r="F120" i="40"/>
  <c r="F119" i="40"/>
  <c r="F118" i="40"/>
  <c r="F122" i="40" s="1"/>
  <c r="F130" i="40" s="1"/>
  <c r="E114" i="40"/>
  <c r="F112" i="40"/>
  <c r="F111" i="40"/>
  <c r="F110" i="40"/>
  <c r="F109" i="40"/>
  <c r="F108" i="40"/>
  <c r="E106" i="40"/>
  <c r="F101" i="40"/>
  <c r="F100" i="40"/>
  <c r="F99" i="40"/>
  <c r="F98" i="40"/>
  <c r="F97" i="40"/>
  <c r="F96" i="40"/>
  <c r="F95" i="40"/>
  <c r="F94" i="40"/>
  <c r="F93" i="40"/>
  <c r="F92" i="40"/>
  <c r="F91" i="40"/>
  <c r="F90" i="40"/>
  <c r="F89" i="40"/>
  <c r="F88" i="40"/>
  <c r="F87" i="40"/>
  <c r="F86" i="40"/>
  <c r="F85" i="40"/>
  <c r="F84" i="40"/>
  <c r="F83" i="40"/>
  <c r="F82" i="40"/>
  <c r="F81" i="40"/>
  <c r="F80" i="40"/>
  <c r="F72" i="40"/>
  <c r="F71" i="40"/>
  <c r="F70" i="40"/>
  <c r="F69" i="40"/>
  <c r="F68" i="40"/>
  <c r="E66" i="40"/>
  <c r="E65" i="40"/>
  <c r="E64"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E10" i="40"/>
  <c r="E9" i="40"/>
  <c r="E6" i="40"/>
  <c r="F6" i="40" s="1"/>
  <c r="F50" i="42" l="1"/>
  <c r="F59" i="42" s="1"/>
  <c r="F63" i="40"/>
  <c r="F126" i="40" s="1"/>
  <c r="F37" i="42"/>
  <c r="F58" i="42" s="1"/>
  <c r="F63" i="43"/>
  <c r="F126" i="43" s="1"/>
  <c r="F139" i="43" s="1"/>
  <c r="F24" i="1" s="1"/>
  <c r="F114" i="43"/>
  <c r="F129" i="43" s="1"/>
  <c r="F74" i="43"/>
  <c r="F127" i="43" s="1"/>
  <c r="F122" i="43"/>
  <c r="F130" i="43" s="1"/>
  <c r="F103" i="43"/>
  <c r="F128" i="43" s="1"/>
  <c r="F67" i="41"/>
  <c r="F76" i="41" s="1"/>
  <c r="F46" i="41"/>
  <c r="F75" i="41" s="1"/>
  <c r="F26" i="41"/>
  <c r="F74" i="41" s="1"/>
  <c r="F16" i="41"/>
  <c r="F73" i="41" s="1"/>
  <c r="F114" i="40"/>
  <c r="F129" i="40" s="1"/>
  <c r="F103" i="40"/>
  <c r="F128" i="40" s="1"/>
  <c r="F74" i="40"/>
  <c r="F127" i="40" s="1"/>
  <c r="D5" i="6"/>
  <c r="D27" i="39"/>
  <c r="F27" i="39" s="1"/>
  <c r="D17" i="39"/>
  <c r="F172" i="38"/>
  <c r="F169" i="38"/>
  <c r="D152" i="38"/>
  <c r="F125" i="38"/>
  <c r="F139" i="40" l="1"/>
  <c r="F22" i="1" s="1"/>
  <c r="F87" i="41"/>
  <c r="F23" i="1" s="1"/>
  <c r="D28" i="38"/>
  <c r="F28" i="38" s="1"/>
  <c r="D19" i="38"/>
  <c r="D17" i="38"/>
  <c r="F17" i="38" s="1"/>
  <c r="F175" i="38"/>
  <c r="F167" i="38"/>
  <c r="F152" i="38"/>
  <c r="F137" i="38"/>
  <c r="F128" i="38"/>
  <c r="F123" i="38"/>
  <c r="F115" i="38"/>
  <c r="F112" i="38"/>
  <c r="F78" i="38"/>
  <c r="F76" i="38"/>
  <c r="F70" i="38"/>
  <c r="F66" i="38"/>
  <c r="F62" i="38"/>
  <c r="F53" i="38"/>
  <c r="D36" i="38"/>
  <c r="F36" i="38" s="1"/>
  <c r="D32" i="38"/>
  <c r="F32" i="38" s="1"/>
  <c r="D15" i="38"/>
  <c r="F5" i="38"/>
  <c r="F15" i="38" l="1"/>
  <c r="D142" i="38"/>
  <c r="D147" i="38" s="1"/>
  <c r="D159" i="38"/>
  <c r="F159" i="38" s="1"/>
  <c r="D161" i="38"/>
  <c r="F161" i="38" s="1"/>
  <c r="D157" i="38"/>
  <c r="F157" i="38" s="1"/>
  <c r="D23" i="38"/>
  <c r="F23" i="38" s="1"/>
  <c r="F142" i="38"/>
  <c r="F19" i="38"/>
  <c r="F147" i="38" l="1"/>
  <c r="F178" i="38"/>
  <c r="F20" i="1" s="1"/>
  <c r="F164" i="39"/>
  <c r="F161" i="39"/>
  <c r="F158" i="39"/>
  <c r="F155" i="39"/>
  <c r="F152" i="39"/>
  <c r="F136" i="39"/>
  <c r="F127" i="39"/>
  <c r="F124" i="39"/>
  <c r="F122" i="39"/>
  <c r="F114" i="39"/>
  <c r="F111" i="39"/>
  <c r="F77" i="39"/>
  <c r="F75" i="39"/>
  <c r="F69" i="39"/>
  <c r="F65" i="39"/>
  <c r="F61" i="39"/>
  <c r="F52" i="39"/>
  <c r="D35" i="39"/>
  <c r="F35" i="39" s="1"/>
  <c r="D31" i="39"/>
  <c r="F31" i="39" s="1"/>
  <c r="F17" i="39"/>
  <c r="D15" i="39"/>
  <c r="F5" i="39"/>
  <c r="D141" i="39" l="1"/>
  <c r="F141" i="39" s="1"/>
  <c r="D22" i="39"/>
  <c r="F22" i="39" s="1"/>
  <c r="F15" i="39"/>
  <c r="D146" i="39" l="1"/>
  <c r="F146" i="39" s="1"/>
  <c r="F166" i="39"/>
  <c r="F21" i="1" s="1"/>
  <c r="D66" i="37"/>
  <c r="F66" i="37" s="1"/>
  <c r="D64" i="37"/>
  <c r="F64" i="37" s="1"/>
  <c r="D45" i="37"/>
  <c r="F45" i="37" s="1"/>
  <c r="D28" i="37"/>
  <c r="F28" i="37" s="1"/>
  <c r="D27" i="37"/>
  <c r="F27" i="37" s="1"/>
  <c r="D25" i="37"/>
  <c r="F25" i="37" s="1"/>
  <c r="D24" i="37"/>
  <c r="F24" i="37" s="1"/>
  <c r="D23" i="37"/>
  <c r="F21" i="37"/>
  <c r="D15" i="37"/>
  <c r="F15" i="37" s="1"/>
  <c r="F19" i="37"/>
  <c r="F16" i="37"/>
  <c r="F6" i="37"/>
  <c r="F56" i="37"/>
  <c r="F55" i="37"/>
  <c r="F59" i="37"/>
  <c r="F58" i="37"/>
  <c r="F57" i="37"/>
  <c r="F54" i="37"/>
  <c r="F52" i="37"/>
  <c r="F51" i="37"/>
  <c r="F44" i="37"/>
  <c r="F71" i="37"/>
  <c r="F70" i="37"/>
  <c r="F69" i="37"/>
  <c r="F68" i="37"/>
  <c r="F67" i="37"/>
  <c r="F65" i="37"/>
  <c r="F49" i="37"/>
  <c r="F48" i="37"/>
  <c r="F47" i="37"/>
  <c r="F43" i="37"/>
  <c r="F42" i="37"/>
  <c r="F35" i="37"/>
  <c r="F34" i="37"/>
  <c r="F31" i="37"/>
  <c r="F30" i="37"/>
  <c r="F26" i="37"/>
  <c r="F23" i="37"/>
  <c r="F22" i="37"/>
  <c r="F20" i="37"/>
  <c r="F17" i="37"/>
  <c r="F9" i="37"/>
  <c r="F8" i="37"/>
  <c r="F7" i="37"/>
  <c r="F5" i="37"/>
  <c r="F32" i="37" l="1"/>
  <c r="D36" i="37"/>
  <c r="F60" i="37"/>
  <c r="F72" i="37"/>
  <c r="F10" i="37"/>
  <c r="F102" i="36"/>
  <c r="D90" i="36"/>
  <c r="F65" i="36"/>
  <c r="D73" i="36"/>
  <c r="D71" i="36"/>
  <c r="F59" i="36"/>
  <c r="F51" i="36"/>
  <c r="F55" i="36"/>
  <c r="D39" i="36"/>
  <c r="D35" i="36"/>
  <c r="D34" i="36"/>
  <c r="D33" i="36"/>
  <c r="D32" i="36"/>
  <c r="D30" i="36"/>
  <c r="D29" i="36"/>
  <c r="D26" i="36"/>
  <c r="D25" i="36"/>
  <c r="D24" i="36"/>
  <c r="D21" i="36"/>
  <c r="D18" i="36"/>
  <c r="D17" i="36"/>
  <c r="F17" i="36" s="1"/>
  <c r="D10" i="36"/>
  <c r="D6" i="36"/>
  <c r="F85" i="36"/>
  <c r="F84" i="36"/>
  <c r="F83" i="36"/>
  <c r="F82" i="36"/>
  <c r="F81" i="36"/>
  <c r="F79" i="36"/>
  <c r="F78" i="36"/>
  <c r="F76" i="36"/>
  <c r="F75" i="36"/>
  <c r="D38" i="36" l="1"/>
  <c r="D37" i="37"/>
  <c r="F37" i="37" s="1"/>
  <c r="F36" i="37"/>
  <c r="F38" i="37" s="1"/>
  <c r="D41" i="36"/>
  <c r="F41" i="36" s="1"/>
  <c r="D42" i="36" l="1"/>
  <c r="F42" i="36" s="1"/>
  <c r="F74" i="37"/>
  <c r="F19" i="1" s="1"/>
  <c r="F75" i="35"/>
  <c r="F98" i="36"/>
  <c r="F97" i="36"/>
  <c r="F56" i="36"/>
  <c r="F54" i="36"/>
  <c r="F53" i="36"/>
  <c r="F103" i="36"/>
  <c r="F101" i="36"/>
  <c r="F100" i="36"/>
  <c r="F99" i="36"/>
  <c r="F96" i="36"/>
  <c r="F95" i="36"/>
  <c r="F94" i="36"/>
  <c r="F93" i="36"/>
  <c r="F92" i="36"/>
  <c r="F91" i="36"/>
  <c r="F90" i="36"/>
  <c r="F74" i="36"/>
  <c r="F73" i="36"/>
  <c r="F72" i="36"/>
  <c r="F71" i="36"/>
  <c r="F70" i="36"/>
  <c r="F69" i="36"/>
  <c r="F68" i="36"/>
  <c r="F67" i="36"/>
  <c r="F66" i="36"/>
  <c r="F60" i="36"/>
  <c r="F58" i="36"/>
  <c r="F52" i="36"/>
  <c r="F50" i="36"/>
  <c r="F49" i="36"/>
  <c r="F48" i="36"/>
  <c r="F47" i="36"/>
  <c r="F39" i="36"/>
  <c r="F37" i="36"/>
  <c r="F36" i="36"/>
  <c r="F35" i="36"/>
  <c r="F34" i="36"/>
  <c r="F33" i="36"/>
  <c r="F32" i="36"/>
  <c r="F31" i="36"/>
  <c r="F30" i="36"/>
  <c r="F29" i="36"/>
  <c r="F28" i="36"/>
  <c r="F27" i="36"/>
  <c r="F26" i="36"/>
  <c r="F25" i="36"/>
  <c r="F24" i="36"/>
  <c r="F22" i="36"/>
  <c r="F21" i="36"/>
  <c r="F19" i="36"/>
  <c r="F18" i="36"/>
  <c r="F11" i="36"/>
  <c r="F10" i="36"/>
  <c r="F9" i="36"/>
  <c r="F8" i="36"/>
  <c r="F7" i="36"/>
  <c r="F6" i="36"/>
  <c r="F5" i="36"/>
  <c r="F80" i="35"/>
  <c r="D76" i="35"/>
  <c r="D60" i="35"/>
  <c r="F63" i="35"/>
  <c r="F62" i="35"/>
  <c r="F59" i="35"/>
  <c r="F53" i="35"/>
  <c r="D39" i="35"/>
  <c r="D40" i="35" s="1"/>
  <c r="F36" i="35"/>
  <c r="D35" i="35"/>
  <c r="D34" i="35"/>
  <c r="D33" i="35"/>
  <c r="D32" i="35"/>
  <c r="D30" i="35"/>
  <c r="D29" i="35"/>
  <c r="D28" i="35"/>
  <c r="D26" i="35"/>
  <c r="D25" i="35"/>
  <c r="D24" i="35"/>
  <c r="D21" i="35"/>
  <c r="D18" i="35"/>
  <c r="D6" i="35"/>
  <c r="F104" i="36" l="1"/>
  <c r="F86" i="36"/>
  <c r="F12" i="36"/>
  <c r="D40" i="36"/>
  <c r="F40" i="36" s="1"/>
  <c r="F38" i="36"/>
  <c r="F43" i="36" s="1"/>
  <c r="F106" i="36" s="1"/>
  <c r="F7" i="1" s="1"/>
  <c r="D38" i="35"/>
  <c r="F76" i="35" l="1"/>
  <c r="F54" i="35"/>
  <c r="F47" i="35"/>
  <c r="F46" i="35"/>
  <c r="F45" i="35"/>
  <c r="F79" i="35"/>
  <c r="F78" i="35"/>
  <c r="F77" i="35"/>
  <c r="F74" i="35"/>
  <c r="F73" i="35"/>
  <c r="F72" i="35"/>
  <c r="F71" i="35"/>
  <c r="D70" i="35"/>
  <c r="F70" i="35" s="1"/>
  <c r="D69" i="35"/>
  <c r="F69" i="35" s="1"/>
  <c r="F68" i="35"/>
  <c r="F61" i="35"/>
  <c r="F60" i="35"/>
  <c r="F58" i="35"/>
  <c r="F57" i="35"/>
  <c r="F56" i="35"/>
  <c r="F55" i="35"/>
  <c r="F52" i="35"/>
  <c r="F51" i="35"/>
  <c r="F49" i="35"/>
  <c r="F48" i="35"/>
  <c r="F40" i="35"/>
  <c r="F39" i="35"/>
  <c r="F37" i="35"/>
  <c r="F35" i="35"/>
  <c r="F34" i="35"/>
  <c r="F33" i="35"/>
  <c r="F32" i="35"/>
  <c r="F31" i="35"/>
  <c r="F30" i="35"/>
  <c r="F29" i="35"/>
  <c r="F28" i="35"/>
  <c r="F27" i="35"/>
  <c r="F26" i="35"/>
  <c r="F25" i="35"/>
  <c r="F24" i="35"/>
  <c r="F22" i="35"/>
  <c r="F21" i="35"/>
  <c r="F19" i="35"/>
  <c r="F38" i="35"/>
  <c r="F12" i="35"/>
  <c r="F11" i="35"/>
  <c r="F10" i="35"/>
  <c r="F9" i="35"/>
  <c r="F8" i="35"/>
  <c r="F7" i="35"/>
  <c r="F6" i="35"/>
  <c r="F5" i="35"/>
  <c r="F81" i="35" l="1"/>
  <c r="F64" i="35"/>
  <c r="F13" i="35"/>
  <c r="F18" i="35"/>
  <c r="F41" i="35" l="1"/>
  <c r="F83" i="35" s="1"/>
  <c r="F8" i="1" s="1"/>
  <c r="F66" i="34" l="1"/>
  <c r="D51" i="34"/>
  <c r="D35" i="34"/>
  <c r="D33" i="34"/>
  <c r="D31" i="34"/>
  <c r="D30" i="34"/>
  <c r="D28" i="34"/>
  <c r="D27" i="34"/>
  <c r="D26" i="34"/>
  <c r="D24" i="34"/>
  <c r="D23" i="34"/>
  <c r="F22" i="34"/>
  <c r="D22" i="34"/>
  <c r="D20" i="34"/>
  <c r="D17" i="34"/>
  <c r="D16" i="34"/>
  <c r="D6" i="34" l="1"/>
  <c r="F61" i="34" l="1"/>
  <c r="F60" i="34"/>
  <c r="D36" i="34"/>
  <c r="F36" i="34" s="1"/>
  <c r="F16" i="34"/>
  <c r="F65" i="34"/>
  <c r="F64" i="34"/>
  <c r="F63" i="34"/>
  <c r="F62" i="34"/>
  <c r="F59" i="34"/>
  <c r="F58" i="34"/>
  <c r="F57" i="34"/>
  <c r="F52" i="34"/>
  <c r="F51" i="34"/>
  <c r="F50" i="34"/>
  <c r="F49" i="34"/>
  <c r="F48" i="34"/>
  <c r="F47" i="34"/>
  <c r="F46" i="34"/>
  <c r="F44" i="34"/>
  <c r="F43" i="34"/>
  <c r="F42" i="34"/>
  <c r="F34" i="34"/>
  <c r="F32" i="34"/>
  <c r="F31" i="34"/>
  <c r="F30" i="34"/>
  <c r="F29" i="34"/>
  <c r="F28" i="34"/>
  <c r="F27" i="34"/>
  <c r="F26" i="34"/>
  <c r="F25" i="34"/>
  <c r="F24" i="34"/>
  <c r="F23" i="34"/>
  <c r="F20" i="34"/>
  <c r="F18" i="34"/>
  <c r="F10" i="34"/>
  <c r="F9" i="34"/>
  <c r="F8" i="34"/>
  <c r="F7" i="34"/>
  <c r="F6" i="34"/>
  <c r="F5" i="34"/>
  <c r="F76" i="33"/>
  <c r="F70" i="33"/>
  <c r="D72" i="33"/>
  <c r="F72" i="33" s="1"/>
  <c r="D67" i="33"/>
  <c r="F67" i="33" s="1"/>
  <c r="D66" i="33"/>
  <c r="F66" i="33" s="1"/>
  <c r="D59" i="33"/>
  <c r="F59" i="33" s="1"/>
  <c r="F50" i="33"/>
  <c r="D17" i="33"/>
  <c r="D44" i="33" s="1"/>
  <c r="F44" i="33" s="1"/>
  <c r="F17" i="33"/>
  <c r="D41" i="33"/>
  <c r="D43" i="33" s="1"/>
  <c r="F43" i="33" s="1"/>
  <c r="F38" i="33"/>
  <c r="F37" i="33"/>
  <c r="D36" i="33"/>
  <c r="F36" i="33" s="1"/>
  <c r="D35" i="33"/>
  <c r="F35" i="33" s="1"/>
  <c r="D34" i="33"/>
  <c r="F34" i="33" s="1"/>
  <c r="D33" i="33"/>
  <c r="F33" i="33" s="1"/>
  <c r="D32" i="33"/>
  <c r="F32" i="33" s="1"/>
  <c r="D30" i="33"/>
  <c r="F30" i="33" s="1"/>
  <c r="D29" i="33"/>
  <c r="F29" i="33" s="1"/>
  <c r="D28" i="33"/>
  <c r="F28" i="33" s="1"/>
  <c r="D26" i="33"/>
  <c r="F26" i="33" s="1"/>
  <c r="D25" i="33"/>
  <c r="F25" i="33" s="1"/>
  <c r="D21" i="33"/>
  <c r="F21" i="33" s="1"/>
  <c r="D18" i="33"/>
  <c r="D6" i="33"/>
  <c r="F6" i="33" s="1"/>
  <c r="D32" i="32"/>
  <c r="D31" i="32"/>
  <c r="F75" i="33"/>
  <c r="F74" i="33"/>
  <c r="F73" i="33"/>
  <c r="F71" i="33"/>
  <c r="F69" i="33"/>
  <c r="F68" i="33"/>
  <c r="F65" i="33"/>
  <c r="F77" i="33" s="1"/>
  <c r="F60" i="33"/>
  <c r="F58" i="33"/>
  <c r="F57" i="33"/>
  <c r="F56" i="33"/>
  <c r="F55" i="33"/>
  <c r="F54" i="33"/>
  <c r="F52" i="33"/>
  <c r="F51" i="33"/>
  <c r="F42" i="33"/>
  <c r="F39" i="33"/>
  <c r="F31" i="33"/>
  <c r="F27" i="33"/>
  <c r="F24" i="33"/>
  <c r="F22" i="33"/>
  <c r="F19" i="33"/>
  <c r="F11" i="33"/>
  <c r="F10" i="33"/>
  <c r="F9" i="33"/>
  <c r="F8" i="33"/>
  <c r="F7" i="33"/>
  <c r="F5" i="33"/>
  <c r="D50" i="32"/>
  <c r="D36" i="32"/>
  <c r="D29" i="32"/>
  <c r="D28" i="32"/>
  <c r="D27" i="32"/>
  <c r="D25" i="32"/>
  <c r="D24" i="32"/>
  <c r="D23" i="32"/>
  <c r="D20" i="32"/>
  <c r="D17" i="32"/>
  <c r="F10" i="32"/>
  <c r="D34" i="32" l="1"/>
  <c r="D40" i="33"/>
  <c r="F40" i="33" s="1"/>
  <c r="F67" i="34"/>
  <c r="F53" i="34"/>
  <c r="F11" i="34"/>
  <c r="D37" i="34"/>
  <c r="F37" i="34" s="1"/>
  <c r="F33" i="34"/>
  <c r="F35" i="34"/>
  <c r="F17" i="34"/>
  <c r="F38" i="34" s="1"/>
  <c r="F69" i="34" s="1"/>
  <c r="D45" i="33"/>
  <c r="F45" i="33" s="1"/>
  <c r="F61" i="33"/>
  <c r="F12" i="33"/>
  <c r="F18" i="33"/>
  <c r="F46" i="33" s="1"/>
  <c r="F41" i="33"/>
  <c r="F79" i="33" l="1"/>
  <c r="F9" i="1"/>
  <c r="F10" i="1"/>
  <c r="D6" i="32" l="1"/>
  <c r="F6" i="32" s="1"/>
  <c r="F36" i="32"/>
  <c r="F67" i="32"/>
  <c r="F66" i="32"/>
  <c r="F62" i="32"/>
  <c r="F61" i="32"/>
  <c r="F60" i="32"/>
  <c r="F59" i="32"/>
  <c r="F58" i="32"/>
  <c r="F57" i="32"/>
  <c r="F56" i="32"/>
  <c r="F51" i="32"/>
  <c r="F50" i="32"/>
  <c r="F49" i="32"/>
  <c r="F48" i="32"/>
  <c r="F47" i="32"/>
  <c r="F46" i="32"/>
  <c r="F45" i="32"/>
  <c r="F43" i="32"/>
  <c r="F42" i="32"/>
  <c r="F41" i="32"/>
  <c r="F33" i="32"/>
  <c r="F32" i="32"/>
  <c r="F31" i="32"/>
  <c r="F30" i="32"/>
  <c r="F29" i="32"/>
  <c r="F28" i="32"/>
  <c r="F27" i="32"/>
  <c r="F26" i="32"/>
  <c r="F25" i="32"/>
  <c r="F24" i="32"/>
  <c r="F23" i="32"/>
  <c r="F21" i="32"/>
  <c r="F20" i="32"/>
  <c r="F18" i="32"/>
  <c r="F34" i="32"/>
  <c r="F11" i="32"/>
  <c r="F9" i="32"/>
  <c r="F8" i="32"/>
  <c r="F7" i="32"/>
  <c r="F5" i="32"/>
  <c r="F72" i="31"/>
  <c r="D66" i="31"/>
  <c r="D65" i="31"/>
  <c r="D58" i="31"/>
  <c r="D42" i="31"/>
  <c r="D43" i="31" s="1"/>
  <c r="D39" i="31"/>
  <c r="D36" i="31"/>
  <c r="D35" i="31"/>
  <c r="D34" i="31"/>
  <c r="D33" i="31"/>
  <c r="D30" i="31"/>
  <c r="D29" i="31"/>
  <c r="D28" i="31"/>
  <c r="D26" i="31"/>
  <c r="D25" i="31"/>
  <c r="D24" i="31"/>
  <c r="D21" i="31"/>
  <c r="D18" i="31"/>
  <c r="D6" i="31"/>
  <c r="F67" i="31"/>
  <c r="F71" i="31"/>
  <c r="F70" i="31"/>
  <c r="F52" i="32" l="1"/>
  <c r="F12" i="32"/>
  <c r="F68" i="32"/>
  <c r="F35" i="32"/>
  <c r="F17" i="32"/>
  <c r="D38" i="31"/>
  <c r="F37" i="32" l="1"/>
  <c r="F70" i="32"/>
  <c r="F11" i="1" s="1"/>
  <c r="F35" i="31" l="1"/>
  <c r="F33" i="31"/>
  <c r="F11" i="31"/>
  <c r="F10" i="31"/>
  <c r="F9" i="31"/>
  <c r="F8" i="31"/>
  <c r="F7" i="31"/>
  <c r="F75" i="31"/>
  <c r="F74" i="31"/>
  <c r="F73" i="31"/>
  <c r="F69" i="31"/>
  <c r="F68" i="31"/>
  <c r="F66" i="31"/>
  <c r="F65" i="31"/>
  <c r="F64" i="31"/>
  <c r="F59" i="31"/>
  <c r="F58" i="31"/>
  <c r="F57" i="31"/>
  <c r="F56" i="31"/>
  <c r="F55" i="31"/>
  <c r="F54" i="31"/>
  <c r="F53" i="31"/>
  <c r="F52" i="31"/>
  <c r="F50" i="31"/>
  <c r="F49" i="31"/>
  <c r="F48" i="31"/>
  <c r="D41" i="31"/>
  <c r="F41" i="31" s="1"/>
  <c r="F39" i="31"/>
  <c r="F37" i="31"/>
  <c r="F36" i="31"/>
  <c r="F34" i="31"/>
  <c r="F32" i="31"/>
  <c r="F31" i="31"/>
  <c r="F30" i="31"/>
  <c r="F29" i="31"/>
  <c r="F28" i="31"/>
  <c r="F27" i="31"/>
  <c r="F26" i="31"/>
  <c r="F25" i="31"/>
  <c r="F24" i="31"/>
  <c r="F22" i="31"/>
  <c r="F21" i="31"/>
  <c r="F19" i="31"/>
  <c r="F12" i="31"/>
  <c r="F6" i="31"/>
  <c r="F5" i="31"/>
  <c r="F9" i="30"/>
  <c r="D50" i="30"/>
  <c r="F50" i="30" s="1"/>
  <c r="F42" i="30"/>
  <c r="D32" i="30"/>
  <c r="F32" i="30" s="1"/>
  <c r="D31" i="30"/>
  <c r="D30" i="30"/>
  <c r="F30" i="30" s="1"/>
  <c r="D28" i="30"/>
  <c r="F28" i="30" s="1"/>
  <c r="D27" i="30"/>
  <c r="F27" i="30" s="1"/>
  <c r="D26" i="30"/>
  <c r="F26" i="30" s="1"/>
  <c r="D24" i="30"/>
  <c r="F24" i="30" s="1"/>
  <c r="D23" i="30"/>
  <c r="F23" i="30" s="1"/>
  <c r="D22" i="30"/>
  <c r="F22" i="30" s="1"/>
  <c r="D19" i="30"/>
  <c r="F19" i="30" s="1"/>
  <c r="D16" i="30"/>
  <c r="F16" i="30" s="1"/>
  <c r="D6" i="30"/>
  <c r="F6" i="30" s="1"/>
  <c r="D35" i="29"/>
  <c r="D36" i="29" s="1"/>
  <c r="F63" i="30"/>
  <c r="F62" i="30"/>
  <c r="F61" i="30"/>
  <c r="F60" i="30"/>
  <c r="F59" i="30"/>
  <c r="F58" i="30"/>
  <c r="F57" i="30"/>
  <c r="F56" i="30"/>
  <c r="F51" i="30"/>
  <c r="F49" i="30"/>
  <c r="F48" i="30"/>
  <c r="F47" i="30"/>
  <c r="F46" i="30"/>
  <c r="F45" i="30"/>
  <c r="F43" i="30"/>
  <c r="D37" i="30"/>
  <c r="F37" i="30" s="1"/>
  <c r="F36" i="30"/>
  <c r="F34" i="30"/>
  <c r="F33" i="30"/>
  <c r="F31" i="30"/>
  <c r="F29" i="30"/>
  <c r="F25" i="30"/>
  <c r="F20" i="30"/>
  <c r="F17" i="30"/>
  <c r="F10" i="30"/>
  <c r="F8" i="30"/>
  <c r="F7" i="30"/>
  <c r="F5" i="30"/>
  <c r="D49" i="29"/>
  <c r="D31" i="29"/>
  <c r="F31" i="29" s="1"/>
  <c r="D30" i="29"/>
  <c r="D29" i="29"/>
  <c r="D27" i="29"/>
  <c r="D26" i="29"/>
  <c r="D25" i="29"/>
  <c r="D23" i="29"/>
  <c r="D22" i="29"/>
  <c r="D21" i="29"/>
  <c r="F19" i="29"/>
  <c r="D18" i="29"/>
  <c r="D15" i="29"/>
  <c r="D8" i="29"/>
  <c r="D34" i="29" s="1"/>
  <c r="D6" i="29"/>
  <c r="F77" i="31" l="1"/>
  <c r="F38" i="31"/>
  <c r="F18" i="31"/>
  <c r="F42" i="31"/>
  <c r="F60" i="31"/>
  <c r="F13" i="31"/>
  <c r="F43" i="31"/>
  <c r="F40" i="31"/>
  <c r="D35" i="30"/>
  <c r="F35" i="30" s="1"/>
  <c r="F38" i="30" s="1"/>
  <c r="F64" i="30"/>
  <c r="F11" i="30"/>
  <c r="F52" i="30"/>
  <c r="F62" i="29"/>
  <c r="F61" i="29"/>
  <c r="F60" i="29"/>
  <c r="F59" i="29"/>
  <c r="F58" i="29"/>
  <c r="F57" i="29"/>
  <c r="F56" i="29"/>
  <c r="F55" i="29"/>
  <c r="F50" i="29"/>
  <c r="F49" i="29"/>
  <c r="F48" i="29"/>
  <c r="F47" i="29"/>
  <c r="F46" i="29"/>
  <c r="F45" i="29"/>
  <c r="F44" i="29"/>
  <c r="F42" i="29"/>
  <c r="F41" i="29"/>
  <c r="F36" i="29"/>
  <c r="F35" i="29"/>
  <c r="F33" i="29"/>
  <c r="F32" i="29"/>
  <c r="F30" i="29"/>
  <c r="F29" i="29"/>
  <c r="F28" i="29"/>
  <c r="F27" i="29"/>
  <c r="F26" i="29"/>
  <c r="F25" i="29"/>
  <c r="F24" i="29"/>
  <c r="F23" i="29"/>
  <c r="F22" i="29"/>
  <c r="F21" i="29"/>
  <c r="F18" i="29"/>
  <c r="F16" i="29"/>
  <c r="F15" i="29"/>
  <c r="F9" i="29"/>
  <c r="F8" i="29"/>
  <c r="F7" i="29"/>
  <c r="F6" i="29"/>
  <c r="F5" i="29"/>
  <c r="D57" i="28"/>
  <c r="F52" i="28"/>
  <c r="D36" i="28"/>
  <c r="D35" i="28"/>
  <c r="D32" i="28"/>
  <c r="D31" i="28"/>
  <c r="D30" i="28"/>
  <c r="D28" i="28"/>
  <c r="D27" i="28"/>
  <c r="D25" i="28"/>
  <c r="D23" i="28"/>
  <c r="D20" i="28"/>
  <c r="D17" i="28"/>
  <c r="D39" i="28" s="1"/>
  <c r="D16" i="28"/>
  <c r="F7" i="28"/>
  <c r="D6" i="28"/>
  <c r="F44" i="31" l="1"/>
  <c r="F79" i="31" s="1"/>
  <c r="F12" i="1" s="1"/>
  <c r="F66" i="30"/>
  <c r="F13" i="1" s="1"/>
  <c r="F51" i="29"/>
  <c r="F63" i="29"/>
  <c r="F10" i="29"/>
  <c r="F34" i="29"/>
  <c r="F37" i="29" s="1"/>
  <c r="F65" i="29" l="1"/>
  <c r="F14" i="1" s="1"/>
  <c r="F26" i="28" l="1"/>
  <c r="F21" i="28"/>
  <c r="F70" i="28"/>
  <c r="F69" i="28"/>
  <c r="F68" i="28"/>
  <c r="F67" i="28"/>
  <c r="F66" i="28"/>
  <c r="F65" i="28"/>
  <c r="F64" i="28"/>
  <c r="F58" i="28"/>
  <c r="F57" i="28"/>
  <c r="F56" i="28"/>
  <c r="F55" i="28"/>
  <c r="F54" i="28"/>
  <c r="F53" i="28"/>
  <c r="F51" i="28"/>
  <c r="F49" i="28"/>
  <c r="F48" i="28"/>
  <c r="D41" i="28"/>
  <c r="F41" i="28" s="1"/>
  <c r="F40" i="28"/>
  <c r="F39" i="28"/>
  <c r="F38" i="28"/>
  <c r="F37" i="28"/>
  <c r="F36" i="28"/>
  <c r="F35" i="28"/>
  <c r="F34" i="28"/>
  <c r="F33" i="28"/>
  <c r="F32" i="28"/>
  <c r="F31" i="28"/>
  <c r="F30" i="28"/>
  <c r="F29" i="28"/>
  <c r="F28" i="28"/>
  <c r="F27" i="28"/>
  <c r="F25" i="28"/>
  <c r="F23" i="28"/>
  <c r="F20" i="28"/>
  <c r="F18" i="28"/>
  <c r="F17" i="28"/>
  <c r="D42" i="28"/>
  <c r="F10" i="28"/>
  <c r="F9" i="28"/>
  <c r="F8" i="28"/>
  <c r="F6" i="28"/>
  <c r="F5" i="28"/>
  <c r="D54" i="27"/>
  <c r="D38" i="27"/>
  <c r="D32" i="27"/>
  <c r="D28" i="27"/>
  <c r="D27" i="27"/>
  <c r="D24" i="27"/>
  <c r="D23" i="27"/>
  <c r="D21" i="27"/>
  <c r="F21" i="27" s="1"/>
  <c r="D19" i="27"/>
  <c r="F71" i="28" l="1"/>
  <c r="F11" i="28"/>
  <c r="D43" i="28"/>
  <c r="F43" i="28" s="1"/>
  <c r="F42" i="28"/>
  <c r="F59" i="28"/>
  <c r="F16" i="28"/>
  <c r="D16" i="27"/>
  <c r="D36" i="27" s="1"/>
  <c r="D15" i="27"/>
  <c r="D6" i="27"/>
  <c r="F44" i="28" l="1"/>
  <c r="F73" i="28" s="1"/>
  <c r="F15" i="1" s="1"/>
  <c r="F34" i="27"/>
  <c r="F67" i="27"/>
  <c r="F66" i="27"/>
  <c r="F65" i="27"/>
  <c r="F64" i="27"/>
  <c r="F63" i="27"/>
  <c r="F62" i="27"/>
  <c r="F61" i="27"/>
  <c r="F60" i="27"/>
  <c r="F55" i="27"/>
  <c r="F54" i="27"/>
  <c r="F53" i="27"/>
  <c r="F52" i="27"/>
  <c r="F51" i="27"/>
  <c r="F50" i="27"/>
  <c r="F49" i="27"/>
  <c r="F47" i="27"/>
  <c r="F46" i="27"/>
  <c r="F45" i="27"/>
  <c r="F38" i="27"/>
  <c r="F37" i="27"/>
  <c r="F35" i="27"/>
  <c r="F33" i="27"/>
  <c r="F32" i="27"/>
  <c r="F31" i="27"/>
  <c r="F30" i="27"/>
  <c r="F29" i="27"/>
  <c r="F28" i="27"/>
  <c r="F27" i="27"/>
  <c r="F26" i="27"/>
  <c r="F25" i="27"/>
  <c r="F24" i="27"/>
  <c r="F23" i="27"/>
  <c r="F19" i="27"/>
  <c r="F17" i="27"/>
  <c r="F16" i="27"/>
  <c r="F15" i="27"/>
  <c r="F9" i="27"/>
  <c r="F7" i="27"/>
  <c r="F6" i="27"/>
  <c r="F5" i="27"/>
  <c r="F68" i="27" l="1"/>
  <c r="F36" i="27"/>
  <c r="F56" i="27"/>
  <c r="D39" i="27"/>
  <c r="F8" i="27"/>
  <c r="F10" i="27" s="1"/>
  <c r="F39" i="27" l="1"/>
  <c r="D40" i="27"/>
  <c r="F40" i="27" s="1"/>
  <c r="F41" i="27" s="1"/>
  <c r="F70" i="27" s="1"/>
  <c r="F18" i="1" s="1"/>
  <c r="F32" i="26" l="1"/>
  <c r="D22" i="26"/>
  <c r="D21" i="26"/>
  <c r="F21" i="26" s="1"/>
  <c r="D20" i="26"/>
  <c r="F20" i="26" s="1"/>
  <c r="D18" i="26"/>
  <c r="F18" i="26" s="1"/>
  <c r="D16" i="26"/>
  <c r="F16" i="26" s="1"/>
  <c r="D13" i="26"/>
  <c r="D26" i="26" s="1"/>
  <c r="D27" i="26" s="1"/>
  <c r="D6" i="26"/>
  <c r="F6" i="26" s="1"/>
  <c r="F52" i="26"/>
  <c r="F51" i="26"/>
  <c r="F50" i="26"/>
  <c r="F49" i="26"/>
  <c r="F48" i="26"/>
  <c r="F47" i="26"/>
  <c r="F42" i="26"/>
  <c r="F41" i="26"/>
  <c r="F40" i="26"/>
  <c r="F39" i="26"/>
  <c r="F38" i="26"/>
  <c r="F37" i="26"/>
  <c r="F36" i="26"/>
  <c r="F35" i="26"/>
  <c r="F33" i="26"/>
  <c r="F24" i="26"/>
  <c r="F23" i="26"/>
  <c r="F22" i="26"/>
  <c r="F19" i="26"/>
  <c r="F17" i="26"/>
  <c r="F14" i="26"/>
  <c r="F7" i="26"/>
  <c r="F5" i="26"/>
  <c r="F64" i="24"/>
  <c r="F61" i="24"/>
  <c r="D52" i="24"/>
  <c r="F52" i="24" s="1"/>
  <c r="F42" i="24"/>
  <c r="D33" i="24"/>
  <c r="D34" i="24" s="1"/>
  <c r="D30" i="24"/>
  <c r="F30" i="24" s="1"/>
  <c r="D29" i="24"/>
  <c r="F29" i="24" s="1"/>
  <c r="D28" i="24"/>
  <c r="F28" i="24" s="1"/>
  <c r="D27" i="24"/>
  <c r="F27" i="24" s="1"/>
  <c r="D26" i="24"/>
  <c r="F26" i="24" s="1"/>
  <c r="D25" i="24"/>
  <c r="F25" i="24" s="1"/>
  <c r="D23" i="24"/>
  <c r="F23" i="24" s="1"/>
  <c r="D22" i="24"/>
  <c r="F22" i="24" s="1"/>
  <c r="D21" i="24"/>
  <c r="F21" i="24" s="1"/>
  <c r="D19" i="24"/>
  <c r="F19" i="24" s="1"/>
  <c r="D18" i="24"/>
  <c r="F18" i="24" s="1"/>
  <c r="D15" i="24"/>
  <c r="F15" i="24" s="1"/>
  <c r="D14" i="24"/>
  <c r="F14" i="24" s="1"/>
  <c r="D13" i="24"/>
  <c r="D35" i="24" s="1"/>
  <c r="D6" i="24"/>
  <c r="F6" i="24" s="1"/>
  <c r="F63" i="24"/>
  <c r="F62" i="24"/>
  <c r="F60" i="24"/>
  <c r="F59" i="24"/>
  <c r="F58" i="24"/>
  <c r="F53" i="24"/>
  <c r="F51" i="24"/>
  <c r="F50" i="24"/>
  <c r="F49" i="24"/>
  <c r="F48" i="24"/>
  <c r="F47" i="24"/>
  <c r="F46" i="24"/>
  <c r="F44" i="24"/>
  <c r="F43" i="24"/>
  <c r="F31" i="24"/>
  <c r="F24" i="24"/>
  <c r="F16" i="24"/>
  <c r="F7" i="24"/>
  <c r="F5" i="24"/>
  <c r="D25" i="26" l="1"/>
  <c r="F25" i="26" s="1"/>
  <c r="F26" i="26"/>
  <c r="F53" i="26"/>
  <c r="F8" i="26"/>
  <c r="F43" i="26"/>
  <c r="F27" i="26"/>
  <c r="F13" i="26"/>
  <c r="D32" i="24"/>
  <c r="F32" i="24" s="1"/>
  <c r="F34" i="24"/>
  <c r="F54" i="24"/>
  <c r="F33" i="24"/>
  <c r="F65" i="24"/>
  <c r="F13" i="24"/>
  <c r="D36" i="24"/>
  <c r="F36" i="24" s="1"/>
  <c r="F8" i="24"/>
  <c r="F35" i="24"/>
  <c r="F28" i="26" l="1"/>
  <c r="F55" i="26" s="1"/>
  <c r="F17" i="1" s="1"/>
  <c r="D37" i="24"/>
  <c r="F37" i="24" s="1"/>
  <c r="F38" i="24" s="1"/>
  <c r="F67" i="24" s="1"/>
  <c r="F16" i="1" s="1"/>
  <c r="F6" i="6" l="1"/>
  <c r="F5" i="6"/>
  <c r="F4" i="6"/>
  <c r="F3" i="6"/>
  <c r="F6" i="5"/>
  <c r="F5" i="5"/>
  <c r="F4" i="5"/>
  <c r="F3" i="5"/>
  <c r="F7" i="5" l="1"/>
  <c r="F6" i="1" s="1"/>
  <c r="F7" i="6"/>
  <c r="F26" i="1" s="1"/>
  <c r="F56" i="42" l="1"/>
  <c r="F70" i="42" s="1"/>
  <c r="F25" i="1" s="1"/>
  <c r="F28" i="1" s="1"/>
  <c r="F29" i="1" l="1"/>
  <c r="F30" i="1" s="1"/>
  <c r="F31" i="1" s="1"/>
  <c r="F32" i="1" s="1"/>
</calcChain>
</file>

<file path=xl/sharedStrings.xml><?xml version="1.0" encoding="utf-8"?>
<sst xmlns="http://schemas.openxmlformats.org/spreadsheetml/2006/main" count="3538" uniqueCount="639">
  <si>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</si>
  <si>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</si>
  <si>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</si>
  <si>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</si>
  <si>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</si>
  <si>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</si>
  <si>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</si>
  <si>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</si>
  <si>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</si>
  <si>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</si>
  <si>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</si>
  <si>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</si>
  <si>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</si>
  <si>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</si>
  <si>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</si>
  <si>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SKUPAJ brez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</si>
  <si>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</si>
  <si>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</si>
  <si>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</si>
  <si>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</si>
  <si>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</si>
  <si>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</si>
  <si>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</si>
  <si>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</si>
  <si>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</si>
  <si>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</si>
  <si>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</si>
  <si>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</si>
  <si>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</si>
  <si>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</si>
  <si>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</si>
  <si>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</si>
  <si>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</si>
  <si>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</si>
  <si>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</si>
  <si>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</si>
  <si>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</si>
  <si>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</si>
  <si>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</si>
  <si>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</si>
  <si>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</si>
  <si>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</si>
  <si>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</si>
  <si>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</si>
  <si>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</si>
  <si>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</si>
  <si>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</si>
  <si>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</si>
  <si>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</si>
  <si>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</si>
  <si>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</si>
  <si>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</si>
  <si>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</si>
  <si>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</si>
  <si>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1</t>
  </si>
  <si>
    <t>2</t>
  </si>
  <si>
    <t>3</t>
  </si>
  <si>
    <t>4</t>
  </si>
  <si>
    <t>5</t>
  </si>
  <si>
    <t>6</t>
  </si>
  <si>
    <t>7</t>
  </si>
  <si>
    <t>8</t>
  </si>
  <si>
    <t>9</t>
  </si>
  <si>
    <t>10</t>
  </si>
  <si>
    <t>11</t>
  </si>
  <si>
    <t>12</t>
  </si>
  <si>
    <t>13</t>
  </si>
  <si>
    <t>14</t>
  </si>
  <si>
    <t>15</t>
  </si>
  <si>
    <t>16</t>
  </si>
  <si>
    <t>17</t>
  </si>
  <si>
    <t>18</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</si>
  <si>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</si>
  <si>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</si>
  <si>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</si>
  <si>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 xml:space="preserve">Rušenje bet. robnikov 15/25  z nakladanjem in odvozom na odlagališče gradbenih odpadkov vključno s stroški deponiranja </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</si>
  <si>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</si>
  <si>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</si>
  <si>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</si>
  <si>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</si>
  <si>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19</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</si>
  <si>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</si>
  <si>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</si>
  <si>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Rušenje betonskih in AB konstrukcij z nalaganjem in odvozom na odlagališče gradbenih odpadkov vključno s stroški deponiranja.</t>
  </si>
  <si>
    <t>Rušenje in odstranitev tlaka iz betonskih tlakovcev, travnih plošč ali kamna na betonski podlagi, vključno s plačilom vseh komunalnih pristojbin za deponiranje.</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</si>
  <si>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</si>
  <si>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</si>
  <si>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</si>
  <si>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</si>
  <si>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</si>
  <si>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</si>
  <si>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</si>
  <si>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</si>
  <si>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Dobava, transport  in vgradnja ravnih betonskih cestnih robnikov 15/25 cm z betonskim temeljem. Robniki izdelani iz zmrzlinsko odpornega betona XF4 in stopnje obrusa XB2.</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</si>
  <si>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</si>
  <si>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</si>
  <si>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</si>
  <si>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 xml:space="preserve">Asfaltiranje pločnika v sestavi:                                     5 cm AC 8 surf B 50/70 A5 </t>
  </si>
  <si>
    <t>Dobava in polaganje visokoobremenitvenih polnostenskih PP cevi DN 200 mm, temenske togosti min. SN12. Cevi zunaj  in znotraj gladke. Izvedene po standardu SIST EN 13476-1. Stiki se tesnijo s spojno integriranimi gumi tesnili oziroma spojkami.</t>
  </si>
  <si>
    <t>Dobava in polaganje visokoobremenitvenih polnostenskih PP cevi DN 250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</si>
  <si>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</si>
  <si>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</si>
  <si>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</si>
  <si>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20</t>
  </si>
  <si>
    <t>Tlačni preizkus kanalizacije in jaškov z izdelavo končnga poročila skladno s SISTEN 1610</t>
  </si>
  <si>
    <t>Pregled kanalizacije s kamero in izdelava poročila</t>
  </si>
  <si>
    <t>I./  PRPRAVLJALNA DELA</t>
  </si>
  <si>
    <t>PRPRAVLJALNA DELA SKUPAJ</t>
  </si>
  <si>
    <r>
      <t>Strojni izkop jarka v zemljini III</t>
    </r>
    <r>
      <rPr>
        <sz val="10"/>
        <rFont val="Arial"/>
        <family val="2"/>
        <charset val="238"/>
      </rPr>
      <t xml:space="preserve">. - IV. ktg, široki z nalaganjem na vozilo ter odvozom na gradbiščno deponijo, vključno s stroški deponiranja.          </t>
    </r>
  </si>
  <si>
    <t>Izvedba priključka kanalizacije na obstoječ jašek kanalizacije s kronsko navrtavo za cev DN 200 in vstavitvijo gumi tesnila, vključno z vsem potrebnim delom in materialom.</t>
  </si>
  <si>
    <t>T kos PP DN 250/160/45</t>
  </si>
  <si>
    <t>m'</t>
  </si>
  <si>
    <t xml:space="preserve">kolena PP DN 250 7,5 st. </t>
  </si>
  <si>
    <t>21</t>
  </si>
  <si>
    <t>Izvedba priključka kanalizacije na obstoječ jašek kanalizacije s kronsko navrtavo za cev DN 250 in vstavitvijo gumi tesnila, vključno z vsem potrebnim delom in materialom.</t>
  </si>
  <si>
    <t xml:space="preserve">kolena PVC DN 160/45 . </t>
  </si>
  <si>
    <t>I./ Pripravljalna dela</t>
  </si>
  <si>
    <t>Nabava in vgraditev geotekstila 200 gr/m2</t>
  </si>
  <si>
    <r>
      <t xml:space="preserve">Asfaltiranje vozišča v sestavi- </t>
    </r>
    <r>
      <rPr>
        <b/>
        <i/>
        <sz val="10"/>
        <rFont val="Arial"/>
        <family val="2"/>
      </rPr>
      <t>lokalna cesta</t>
    </r>
    <r>
      <rPr>
        <sz val="10"/>
        <rFont val="Arial"/>
        <family val="2"/>
      </rPr>
      <t xml:space="preserve">:                                       3 cm AC 8 ali 11 surf B50/70 A4                                    </t>
    </r>
  </si>
  <si>
    <r>
      <t>Asfaltiranje vozišča v sestavi-</t>
    </r>
    <r>
      <rPr>
        <b/>
        <i/>
        <sz val="10"/>
        <rFont val="Arial"/>
        <family val="2"/>
      </rPr>
      <t xml:space="preserve"> lokalna cesta</t>
    </r>
    <r>
      <rPr>
        <sz val="10"/>
        <rFont val="Arial"/>
        <family val="2"/>
      </rPr>
      <t>:                                       6 cm AC 16 base B50/70 A4</t>
    </r>
  </si>
  <si>
    <t>Strojno rezanje asfalta in tesnjenje stikov s tesnilnim kitom za stičenje (npr. Masflex ali ekvivalent) pred asfaltiranjem d&lt;=10 cm</t>
  </si>
  <si>
    <t>Strojno rezanje asfalta in tesnjenje stikov s tesnilnim kitom za stičenje (npr. Masflex ali ekvivalent) pred asfaltiranjem d=10-20cm</t>
  </si>
  <si>
    <t xml:space="preserve">Frezanje asfalta ceste debeline 10 do 20 cm, nakladanje in odvoz na začasno deponijo. Material je predviden za zasip. </t>
  </si>
  <si>
    <t>22</t>
  </si>
  <si>
    <t>III.</t>
  </si>
  <si>
    <t>IV.</t>
  </si>
  <si>
    <t>Posek drevja do fi 30 cm s spravilom</t>
  </si>
  <si>
    <t>1.1</t>
  </si>
  <si>
    <t>Strojni izkop humusa v debelini 20 cm z odlaganjem ob gradbeni jami za kasnejšo uporabo pri humusiranju.</t>
  </si>
  <si>
    <t>5.1</t>
  </si>
  <si>
    <r>
      <t>Strojni izkop jarka v zemljini III</t>
    </r>
    <r>
      <rPr>
        <sz val="10"/>
        <rFont val="Arial"/>
        <family val="2"/>
        <charset val="238"/>
      </rPr>
      <t xml:space="preserve">. - IV. ktg, široki z odlaganjem ob gradbeni jami skladno s predpisi           </t>
    </r>
  </si>
  <si>
    <t>12.1</t>
  </si>
  <si>
    <t xml:space="preserve">Strojni zasip jarka z izkopanim materialom (izkopan obstoječ tampon, frezanec) z izločevanjem kamenja nad fi 10 cm oz. po navodilih nadzora, s komprimacijo v plasteh do predpisane zbitosti 95% asfaltne površine 92% zelene površine (po SPP). </t>
  </si>
  <si>
    <t>Nabava, transport in vgraditev tampona I (TP 32) v debelini 30 cm z uvaljanjem Ev2&gt;= 80 Mpa - makadamska cesta</t>
  </si>
  <si>
    <t>Valjanje in planiranje planuma ceste -makadam</t>
  </si>
  <si>
    <t>Humusiranje travnih površin s poprej odstranjenim humusom ter razplaniranje viška humusa ob trasi.</t>
  </si>
  <si>
    <t xml:space="preserve">kolena PP DN 200 7,5 st. </t>
  </si>
  <si>
    <t>T kos PP DN 200/160/45</t>
  </si>
  <si>
    <t>Dobava, transport in vgradnja tlaka iz betonskih  tlakovcev na mestih predhodno odstranjenega tlaka (tlak enak odstranjenemu), vključno z izvedbo bet. podlage - na območju individualnih priključkov</t>
  </si>
  <si>
    <t>KANAL ŠTORE 01-3.1</t>
  </si>
  <si>
    <r>
      <t>Strojni izkop jarka v zemljini III</t>
    </r>
    <r>
      <rPr>
        <sz val="10"/>
        <rFont val="Arial"/>
        <family val="2"/>
        <charset val="238"/>
      </rPr>
      <t xml:space="preserve">. - IV. ktg, </t>
    </r>
    <r>
      <rPr>
        <b/>
        <i/>
        <sz val="10"/>
        <rFont val="Arial"/>
        <family val="2"/>
      </rPr>
      <t>široki z nalaganjem na vozilo</t>
    </r>
    <r>
      <rPr>
        <sz val="10"/>
        <rFont val="Arial"/>
        <family val="2"/>
        <charset val="238"/>
      </rPr>
      <t xml:space="preserve"> ter odvozom na gradbiščno deponijo, vključno s stroški deponiranja.          </t>
    </r>
  </si>
  <si>
    <r>
      <t>Strojni izkop jarka v zemljini III</t>
    </r>
    <r>
      <rPr>
        <sz val="10"/>
        <rFont val="Arial"/>
        <family val="2"/>
        <charset val="238"/>
      </rPr>
      <t>. - IV. ktg, š</t>
    </r>
    <r>
      <rPr>
        <b/>
        <i/>
        <sz val="10"/>
        <rFont val="Arial"/>
        <family val="2"/>
      </rPr>
      <t>iroki z odlaganjem ob gradbeni jam</t>
    </r>
    <r>
      <rPr>
        <sz val="10"/>
        <rFont val="Arial"/>
        <family val="2"/>
        <charset val="238"/>
      </rPr>
      <t xml:space="preserve">i skladno s predpisi           </t>
    </r>
  </si>
  <si>
    <r>
      <t>Strojni zasip jarka z izkopanim materialom (izkopan obstoječ tampon, frezanec) z izločevanjem kamenja nad fi 10 cm oz. po navodilih nadzora, s komprimacijo v plasteh do predpisane zbitosti 95% asfaltne površine 92% zelene površine (po SPP). Upoštevati</t>
    </r>
    <r>
      <rPr>
        <b/>
        <i/>
        <sz val="10"/>
        <rFont val="Arial"/>
        <family val="2"/>
      </rPr>
      <t xml:space="preserve"> nakladanje in dovoz iz lokalne deponije.</t>
    </r>
  </si>
  <si>
    <t>Nalaganje in odvoz odvečnega materiala na začasni deponiji na stalno deponijo do 10 km vključno s stroški deponiranja. 91,17*1,25</t>
  </si>
  <si>
    <t xml:space="preserve">kolena PP DN 200 15 st. </t>
  </si>
  <si>
    <t>H =1.00-2.00 m  umirjevalni</t>
  </si>
  <si>
    <t>KANAL ŠTORE 01-3.2</t>
  </si>
  <si>
    <t>KANAL ŠTORE 01-3.2 SKUPAJ:</t>
  </si>
  <si>
    <t>KANAL ŠTORE 01-3.1 SKUPAJ:</t>
  </si>
  <si>
    <t>Nalaganje in odvoz odvečnega materiala na začasni deponiji na stalno deponijo do 10 km vključno s stroški deponiranja. 29,50*1,25</t>
  </si>
  <si>
    <t>KANAL ŠTORE 01-3.3</t>
  </si>
  <si>
    <t>KANAL ŠTORE 01-3.3 SKUPAJ:</t>
  </si>
  <si>
    <r>
      <t>Strojni izkop jarka v zemljini III</t>
    </r>
    <r>
      <rPr>
        <sz val="10"/>
        <rFont val="Arial"/>
        <family val="2"/>
        <charset val="238"/>
      </rPr>
      <t>. - IV. ktg, v</t>
    </r>
    <r>
      <rPr>
        <b/>
        <i/>
        <sz val="10"/>
        <rFont val="Arial"/>
        <family val="2"/>
      </rPr>
      <t>ertikalni z razpiranjem in nalaganjem na vozilo</t>
    </r>
    <r>
      <rPr>
        <sz val="10"/>
        <rFont val="Arial"/>
        <family val="2"/>
        <charset val="238"/>
      </rPr>
      <t xml:space="preserve"> ter odvozom na gradbiščno deponijo, vključno s stroški deponiranja.          </t>
    </r>
  </si>
  <si>
    <r>
      <t xml:space="preserve">Strojni zasip jarka z izkopanim materialom (izkopan obstoječ tampon, frezanec) z izločevanjem kamenja nad fi 10 cm oz. po navodilih nadzora, s komprimacijo v plasteh do predpisane zbitosti 95% asfaltne površine 92% zelene površine (po SPP). </t>
    </r>
    <r>
      <rPr>
        <b/>
        <i/>
        <sz val="10"/>
        <rFont val="Arial"/>
        <family val="2"/>
      </rPr>
      <t>Upoštevati nakladanje in dovoz iz lokalne deponije.</t>
    </r>
  </si>
  <si>
    <t>Posip in uvaljanje bankin s peskom š=0.50 m</t>
  </si>
  <si>
    <r>
      <t>Strojni izkop jarka v zemljini III</t>
    </r>
    <r>
      <rPr>
        <sz val="10"/>
        <rFont val="Arial"/>
        <family val="2"/>
        <charset val="238"/>
      </rPr>
      <t xml:space="preserve">. - IV. ktg, </t>
    </r>
    <r>
      <rPr>
        <b/>
        <i/>
        <sz val="10"/>
        <rFont val="Arial"/>
        <family val="2"/>
      </rPr>
      <t xml:space="preserve">široki z nalaganjem na vozilo ter odvozom </t>
    </r>
    <r>
      <rPr>
        <sz val="10"/>
        <rFont val="Arial"/>
        <family val="2"/>
        <charset val="238"/>
      </rPr>
      <t xml:space="preserve">na gradbiščno deponijo, vključno s stroški deponiranja.          </t>
    </r>
  </si>
  <si>
    <t>Nalaganje in odvoz odvečnega materiala na začasni deponiji na stalno deponijo do 10 km vključno s stroški deponiranja. 226,94*1,25</t>
  </si>
  <si>
    <t>KANAL ŠTORE 01-3</t>
  </si>
  <si>
    <t>KANAL ŠTORE 01-3 SKUPAJ:</t>
  </si>
  <si>
    <t>Nalaganje in odvoz odvečnega materiala na začasni deponiji na stalno deponijo do 10 km vključno s stroški deponiranja. 156,39*1,25</t>
  </si>
  <si>
    <t>KANAL ŠTORE 01-2.1.1</t>
  </si>
  <si>
    <t>KANAL ŠTORE 01-2.1.1 SKUPAJ:</t>
  </si>
  <si>
    <t>Nabava, transport in vgraditev tampona I (TP 32) v debelini 45 cm z uvaljanjem Ev2&gt;= 100 Mpa za izvedbo zgornjega ustroja - makadam</t>
  </si>
  <si>
    <t>Nalaganje in odvoz odvečnega materiala na začasni deponiji na stalno deponijo do 10 km vključno s stroški deponiranja. 186,50*1,25</t>
  </si>
  <si>
    <t>KANAL ŠTORE 01-2.1</t>
  </si>
  <si>
    <t>KANAL ŠTORE 01-2.1 SKUPAJ:</t>
  </si>
  <si>
    <t>Nalaganje in odvoz odvečnega materiala na začasni deponiji na stalno deponijo do 10 km vključno s stroški deponiranja. 270,77*1,25</t>
  </si>
  <si>
    <t>Demontaža in ponovna montaža ograje z alu stebri in pletivim z vsemi potrebnimi deli in materialom</t>
  </si>
  <si>
    <t>KANAL ŠTORE 01-2</t>
  </si>
  <si>
    <t>KANAL ŠTORE 01-2 SKUPAJ:</t>
  </si>
  <si>
    <r>
      <t>Nabava,transport in vgraditev zmrzlinsko odpornega kamnitega materiala do fi 63 mm v debelini 50 cm</t>
    </r>
    <r>
      <rPr>
        <sz val="10"/>
        <rFont val="Arial"/>
        <family val="2"/>
      </rPr>
      <t xml:space="preserve"> z uvaljanem za izvedbo spodnjega ustroja.</t>
    </r>
  </si>
  <si>
    <t>13.1</t>
  </si>
  <si>
    <t>Nabava, transport in vgraditev tampona I (TP 32) v debelini 45 cm z uvaljanjem Ev2&gt;= 80 Mpa - makadamska cesta</t>
  </si>
  <si>
    <t>Nabava in humusiranje travnih površin s poprej odstranjenim humusom ter razplaniranje viška humusa ob trasi.</t>
  </si>
  <si>
    <t>14.1</t>
  </si>
  <si>
    <t>Nabava, transport in vgraditev tampona I (TP 32) v debelini 20 cm z uvaljanjem Ev2&gt;= 100 Mpa za izvedbo zgornjega ustroja.</t>
  </si>
  <si>
    <r>
      <t xml:space="preserve">Asfaltiranje vozišča v sestavi- </t>
    </r>
    <r>
      <rPr>
        <b/>
        <i/>
        <sz val="10"/>
        <rFont val="Arial"/>
        <family val="2"/>
      </rPr>
      <t>lokalna cesta</t>
    </r>
    <r>
      <rPr>
        <sz val="10"/>
        <rFont val="Arial"/>
        <family val="2"/>
      </rPr>
      <t xml:space="preserve">:                                       4 cm AC 11 surf B50/70 A3                                    </t>
    </r>
  </si>
  <si>
    <r>
      <t>Asfaltiranje vozišča v sestavi-</t>
    </r>
    <r>
      <rPr>
        <b/>
        <i/>
        <sz val="10"/>
        <rFont val="Arial"/>
        <family val="2"/>
      </rPr>
      <t xml:space="preserve"> lokalna cesta</t>
    </r>
    <r>
      <rPr>
        <sz val="10"/>
        <rFont val="Arial"/>
        <family val="2"/>
      </rPr>
      <t>:                                       7 cm AC 22 base B50/70 A3</t>
    </r>
  </si>
  <si>
    <t>Nalaganje in odvoz odvečnega materiala na začasni deponiji na stalno deponijo do 10 km vključno s stroški deponiranja. 347,20*1,25</t>
  </si>
  <si>
    <t>KANAL ŠTORE 01-1.4</t>
  </si>
  <si>
    <t>KANAL ŠTORE 01-1.4 SKUPAJ:</t>
  </si>
  <si>
    <t>Nalaganje in odvoz odvečnega materiala na začasni deponiji na stalno deponijo do 10 km vključno s stroški deponiranja. 306,30*1,25</t>
  </si>
  <si>
    <t>KANAL ŠTORE 01-1.3</t>
  </si>
  <si>
    <t>KANAL ŠTORE 01-1.3 SKUPAJ:</t>
  </si>
  <si>
    <t>Posip in uvaljanje bankin s peskom š=0.75 m</t>
  </si>
  <si>
    <t>23</t>
  </si>
  <si>
    <t>24</t>
  </si>
  <si>
    <t>Nalaganje in odvoz odvečnega materiala na začasni deponiji na stalno deponijo do 10 km vključno s stroški deponiranja. 343,42*1,25</t>
  </si>
  <si>
    <t>Dodatek za izdelavo asf. mulde š=0,50 m</t>
  </si>
  <si>
    <r>
      <t>Asfaltiranje vozišča v sestavi-</t>
    </r>
    <r>
      <rPr>
        <b/>
        <sz val="10"/>
        <rFont val="Arial"/>
        <family val="2"/>
      </rPr>
      <t xml:space="preserve"> regional</t>
    </r>
    <r>
      <rPr>
        <b/>
        <i/>
        <sz val="10"/>
        <rFont val="Arial"/>
        <family val="2"/>
      </rPr>
      <t>na cesta</t>
    </r>
    <r>
      <rPr>
        <sz val="10"/>
        <rFont val="Arial"/>
        <family val="2"/>
      </rPr>
      <t xml:space="preserve">:                                       4 cm AC 11 surf B50/70 A3                                    </t>
    </r>
  </si>
  <si>
    <r>
      <t>Asfaltiranje vozišča v sestavi-</t>
    </r>
    <r>
      <rPr>
        <b/>
        <i/>
        <sz val="10"/>
        <rFont val="Arial"/>
        <family val="2"/>
      </rPr>
      <t xml:space="preserve"> regionalna cesta</t>
    </r>
    <r>
      <rPr>
        <sz val="10"/>
        <rFont val="Arial"/>
        <family val="2"/>
      </rPr>
      <t>:                                       7 cm AC 22 base B50/70 A3</t>
    </r>
  </si>
  <si>
    <t>Nabava in vgraditev zaščitnih cevi PE 100 dA 355 SDR 11 L=4.00 m za izvedbo križanja s plinovodom, vključno z vsemi potrebnimi deli in materialom.</t>
  </si>
  <si>
    <t>KANAL ŠTORE 01-1.2</t>
  </si>
  <si>
    <t>KANAL ŠTORE 01-1.2 SKUPAJ:</t>
  </si>
  <si>
    <t>Nalaganje in odvoz odvečnega materiala na začasni deponiji na stalno deponijo do 10 km vključno s stroški deponiranja. 315,93*1,25</t>
  </si>
  <si>
    <t>Nabava in vgraditev zaščitnih cevi PVC d315 SN8 z obbetoniranjem C12/15 l=3.00 m za izvedbo križanja, vključno z vsemi potrebnimi deli in materialom.</t>
  </si>
  <si>
    <t>KANAL ŠTORE 01-1.1</t>
  </si>
  <si>
    <t>KANAL ŠTORE 01-1.1 SKUPAJ:</t>
  </si>
  <si>
    <t>H =2.00-3.00 m umirjevalni</t>
  </si>
  <si>
    <t xml:space="preserve">Rušenje omaričastega žleba z nakladanjem in odvozom na odlagališče gradbenih odpadkov vključno s stroški deponiranja </t>
  </si>
  <si>
    <t xml:space="preserve">Nabava  in vgraditev tipskega omaričastega žleba š=20 cm z LTŽ rešetko 250 KN s potrebnim materialom in delom </t>
  </si>
  <si>
    <t>Nalaganje in odvoz odvečnega materiala na začasni deponiji na stalno deponijo do 10 km vključno s stroški deponiranja. 1041,56*1,25</t>
  </si>
  <si>
    <t xml:space="preserve">H =3.00-4.00 m </t>
  </si>
  <si>
    <t>Izvedba priključka cevi DN 200 za nastavek hišnega priključka na revizijske jaške glavnega kanala s kronsko navrtavo in gumi tesnilom.</t>
  </si>
  <si>
    <t>Dobava in polaganje polnostenskih PVC cevi DN 200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</si>
  <si>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 xml:space="preserve">kolena PVC DN 200/45 . </t>
  </si>
  <si>
    <r>
      <t xml:space="preserve">Dobava in polaganje visokoobremenitvenih polnostenskih </t>
    </r>
    <r>
      <rPr>
        <b/>
        <sz val="10"/>
        <rFont val="Arial"/>
        <family val="2"/>
      </rPr>
      <t>PP cevi DN 200 mm</t>
    </r>
    <r>
      <rPr>
        <sz val="10"/>
        <rFont val="Arial"/>
        <family val="2"/>
      </rPr>
      <t>, temenske togosti min. SN12. Cevi zunaj  in znotraj gladke. Izvedene po standardu SIST EN 13476-1. Stiki se tesnijo s spojno integriranimi gumi tesnili oziroma spojkami.</t>
    </r>
  </si>
  <si>
    <r>
      <t xml:space="preserve">Dobava in polaganje visokoobremenitvenih polnostenskih </t>
    </r>
    <r>
      <rPr>
        <b/>
        <i/>
        <sz val="10"/>
        <rFont val="Arial"/>
        <family val="2"/>
      </rPr>
      <t>PP cevi DN 250 mm</t>
    </r>
    <r>
      <rPr>
        <sz val="10"/>
        <rFont val="Arial"/>
        <family val="2"/>
      </rPr>
      <t>, temenske togosti min. SN12. Cevi zunaj  in znotraj gladke. Izvedene po standardu SIST EN 13476-1. Stiki se tesnijo s spojno integriranimi gumi tesnili oziroma spojkami.</t>
    </r>
  </si>
  <si>
    <r>
      <t xml:space="preserve">Dobava in polaganje visokoobremenitvenih polnostenskih </t>
    </r>
    <r>
      <rPr>
        <b/>
        <sz val="10"/>
        <rFont val="Arial"/>
        <family val="2"/>
      </rPr>
      <t>PP cevi DN 315 mm</t>
    </r>
    <r>
      <rPr>
        <sz val="10"/>
        <rFont val="Arial"/>
        <family val="2"/>
      </rPr>
      <t>, temenske togosti min. SN12. Cevi zunaj  in znotraj gladke. Izvedene po standardu SIST EN 13476-1. Stiki se tesnijo s spojno integriranimi gumi tesnili oziroma spojkami.</t>
    </r>
  </si>
  <si>
    <t xml:space="preserve">kolena PP DN 315 7,5 st. </t>
  </si>
  <si>
    <t>T kos PP DN 315/160/45</t>
  </si>
  <si>
    <t xml:space="preserve">Dobava in vgraditev PE 100 SDR 17spojnega materiala  </t>
  </si>
  <si>
    <t>Nabava in vgraditev fazonskih kosov PN 10</t>
  </si>
  <si>
    <t>T KOS DN 100/DN 50</t>
  </si>
  <si>
    <t>AVTOMATSKI ZRAČNIK DN 50 Z VGRADNO GARNITURO IN CESTNO KAPO kot npr. tip HAWLE 985 00</t>
  </si>
  <si>
    <t>KANAL ŠTORE 01-1</t>
  </si>
  <si>
    <t>KANAL ŠTORE 01-1 SKUPAJ:</t>
  </si>
  <si>
    <t>Nalaganje in odvoz odvečnega materiala na začasni deponiji na stalno deponijo do 10 km vključno s stroški deponiranja. 1904,43*1,25</t>
  </si>
  <si>
    <t>Dovoz in humusiranje travnih površin s poprej odstranjenim humusom ter razplaniranje viška humusa ob trasi.</t>
  </si>
  <si>
    <t>Planiranje zelenih površin, grabljenje kamenja, sejanje s travnim semenom in gnojenje.</t>
  </si>
  <si>
    <t>T kos PP DN 315//200/45</t>
  </si>
  <si>
    <t>H =1.00-2.00 m umirjevalni</t>
  </si>
  <si>
    <t>Izvedba priključka kanalizacije na obstoječ jašek kanalizacije s kronsko navrtavo za cev DN 315 in vstavitvijo gumi tesnila, vključno z vsem potrebnim delom in materialom.</t>
  </si>
  <si>
    <t xml:space="preserve">Dobava in polaganje kanalizacijskih cevi PE 100 dA 160 x 9,5  SDR 17, spajanje z elektrovarilnimi spojkami  </t>
  </si>
  <si>
    <t>Dobava kanalizacijskih cevi kot npr. SLM 2.0 PE 100 dA 160 x 9,6  SDR 17 za vrtanje</t>
  </si>
  <si>
    <t>Obojka Agef plus PE 100 d160 SDR 17</t>
  </si>
  <si>
    <t>končnik s prirobnico PE100 d160 SDR 17</t>
  </si>
  <si>
    <t>FFK 45° DN 150</t>
  </si>
  <si>
    <t>Kompletna izdelava horizontalnega vrtanja in vgraditev PE oplaščene cevi, z izdelavo vhodne in izhodne gradbene jame s potrebno zaščito (opaž) in vzpostavitvijo obstoječega stanja (zemljina IV-V. ktg.)  -oplaščena cev kot SLM 2.0 PE 100 d160 x 9,5 SDR 17</t>
  </si>
  <si>
    <t>Izvedba priključka tlačnega kanala na obstoječ jašek kanalizacije s kronsko navrtavo za cev PE d160 in vstavitvijo gumi tesnila, vključno z vsem potrebnim delom in materialom.</t>
  </si>
  <si>
    <t xml:space="preserve">Dobava in vgradnja priključka na jašek s "fajfo" iz polnostenskih PP cevi DN 200 mm, temenske togosti min. SN12. Cevi zunaj  in znotraj gladke. Izvedene po standardu SIST EN 13476-1. Stiki se tesnijo s spojno integriranimi gumi tesnili oziroma spojkami v sestavi :                                                                                          </t>
  </si>
  <si>
    <t>koleno 200/45       kos 1</t>
  </si>
  <si>
    <t>koleno 200/90       kos 1</t>
  </si>
  <si>
    <t>cev PP 200 SN 12 m' 5</t>
  </si>
  <si>
    <t>T kos 315/200/45   kos 1</t>
  </si>
  <si>
    <t>Nabava in vgraditev zaščitnih cevi PVC d400 SN8 z obbetoniranjem C12/15 l=3.00 m za izvedbo križanja, vključno z vsemi potrebnimi deli in materialom.</t>
  </si>
  <si>
    <t xml:space="preserve">Kompletna izdelava horizontalnega vrtanja in vgraditev JK 508 x 8 L=6.00 m, z izdelavo vhodne in izhodne gradbene jame s potrebno zaščito (opaž) in vzpostavitvijo obstoječega stanja (zemljina IV-V. ktg.) </t>
  </si>
  <si>
    <t>KANAL ŠTORE 01-T2</t>
  </si>
  <si>
    <t>KANAL ŠTORE 01-T2 SKUPAJ:</t>
  </si>
  <si>
    <r>
      <t>Strojni izkop jarka v zemljini III</t>
    </r>
    <r>
      <rPr>
        <sz val="10"/>
        <rFont val="Arial"/>
        <family val="2"/>
        <charset val="238"/>
      </rPr>
      <t xml:space="preserve">. - IV. Ktg-, široki z odlaganjem ob gradbeni jami skladno s predpisi           </t>
    </r>
  </si>
  <si>
    <r>
      <t xml:space="preserve">Strojni izkop jarka v zemljini </t>
    </r>
    <r>
      <rPr>
        <sz val="10"/>
        <rFont val="Arial"/>
        <family val="2"/>
        <charset val="238"/>
      </rPr>
      <t xml:space="preserve">V. ktg, široki z nalaganjem na vozilo ter odvozom na stalno deponijo, vključno s stroški deponiranja.          </t>
    </r>
  </si>
  <si>
    <t>Obojka Agef plus PE 100 d110 SDR 17</t>
  </si>
  <si>
    <t>končnik s prirobnico PE100 d110 SDR 17</t>
  </si>
  <si>
    <t>Izvedba priključka tlačnega kanala na obstoječ jašek kanalizacije s kronsko navrtavo za cev PE d110 in vstavitvijo gumi tesnila, vključno z vsem potrebnim delom in materialom.</t>
  </si>
  <si>
    <t>FFK 45° DN 100</t>
  </si>
  <si>
    <t>FFK 22° DN 100</t>
  </si>
  <si>
    <t>FFK 30° DN 100</t>
  </si>
  <si>
    <t>stev</t>
  </si>
  <si>
    <t>postavka</t>
  </si>
  <si>
    <t>em</t>
  </si>
  <si>
    <t>količina</t>
  </si>
  <si>
    <t>cena/em</t>
  </si>
  <si>
    <t>suma</t>
  </si>
  <si>
    <t>Zakoličba objekta</t>
  </si>
  <si>
    <t>kpl</t>
  </si>
  <si>
    <t>Strojni izkop zemljine III.-IV.ktg</t>
  </si>
  <si>
    <t xml:space="preserve">(80% strojno, 20 % ročno) </t>
  </si>
  <si>
    <t>vertikalni z razpiranjem in</t>
  </si>
  <si>
    <t xml:space="preserve">nalaganjem na vozilo </t>
  </si>
  <si>
    <t>III. ktg 30 %</t>
  </si>
  <si>
    <t>IV. ktg 70 %</t>
  </si>
  <si>
    <t>0-2 m</t>
  </si>
  <si>
    <t>m3</t>
  </si>
  <si>
    <t>2-4 m</t>
  </si>
  <si>
    <t xml:space="preserve">Odvoz izkopanega materiala na </t>
  </si>
  <si>
    <t>lokalno deponijo do 1.00 km</t>
  </si>
  <si>
    <t xml:space="preserve">Nabava, montaža in demontaža </t>
  </si>
  <si>
    <t>vertikalnega opaža po tehnologiji</t>
  </si>
  <si>
    <t>izvajalca</t>
  </si>
  <si>
    <t>m2</t>
  </si>
  <si>
    <t>Planiranje dna jarka</t>
  </si>
  <si>
    <t>(ročno)</t>
  </si>
  <si>
    <t>Nabava in vgradnja betona C12/15</t>
  </si>
  <si>
    <t>v debelini 0.10 m3/m2</t>
  </si>
  <si>
    <t xml:space="preserve">Nabava, vgradnja in montaža </t>
  </si>
  <si>
    <r>
      <t xml:space="preserve">jaška za črpalke </t>
    </r>
    <r>
      <rPr>
        <b/>
        <sz val="12"/>
        <rFont val="Arial Narrow"/>
        <family val="2"/>
      </rPr>
      <t>DN 2000 mm</t>
    </r>
    <r>
      <rPr>
        <sz val="12"/>
        <rFont val="Arial Narrow"/>
        <family val="2"/>
        <charset val="238"/>
      </rPr>
      <t xml:space="preserve">: </t>
    </r>
  </si>
  <si>
    <t xml:space="preserve">Svetla višina jaška </t>
  </si>
  <si>
    <t xml:space="preserve">Jašek  </t>
  </si>
  <si>
    <t xml:space="preserve">Jašek iz vodonepropustnega,  </t>
  </si>
  <si>
    <t>armiranega betona C45/55 XA2T  skladno</t>
  </si>
  <si>
    <t>s standardi (DIN 4281,DIN 1046);</t>
  </si>
  <si>
    <t xml:space="preserve">jašek sestavljen iz monolitnega dna </t>
  </si>
  <si>
    <t xml:space="preserve">in ploščo  dimenzionirano na </t>
  </si>
  <si>
    <t xml:space="preserve">prometno obtežbo (SLW 30 ) </t>
  </si>
  <si>
    <t xml:space="preserve">in zaščitnim premazom za agresivno </t>
  </si>
  <si>
    <t>okolje Ph 3,5-14 npr. MC-RIM.</t>
  </si>
  <si>
    <t>kot npr. WET</t>
  </si>
  <si>
    <t>kos</t>
  </si>
  <si>
    <t xml:space="preserve">Pokrov </t>
  </si>
  <si>
    <t xml:space="preserve">Pokrov iz nerjavečega jekla </t>
  </si>
  <si>
    <t>800 x 1400, klasa C 250 kN z</t>
  </si>
  <si>
    <t>ključavnico, vgrajen v krovno ploščo</t>
  </si>
  <si>
    <t xml:space="preserve">dimenzije pokrova prilagoditi </t>
  </si>
  <si>
    <t>črpalkam!</t>
  </si>
  <si>
    <t xml:space="preserve">Dotok </t>
  </si>
  <si>
    <t xml:space="preserve">Odtok </t>
  </si>
  <si>
    <t>Izdelava preboja za cev DN 80</t>
  </si>
  <si>
    <t>vključno tesnilo DN 80</t>
  </si>
  <si>
    <t xml:space="preserve">Priključki (vključno preboji) </t>
  </si>
  <si>
    <t xml:space="preserve">Vsi priključki morajo biti vodotesni </t>
  </si>
  <si>
    <t xml:space="preserve">ter zatesnjeni </t>
  </si>
  <si>
    <t>DN 100 za prezračevanje</t>
  </si>
  <si>
    <t>dA 75 za elektro kable</t>
  </si>
  <si>
    <t>Pinstal komplet (zaklep DN 80, tesnilo</t>
  </si>
  <si>
    <t>vijaki, matice)</t>
  </si>
  <si>
    <t>motorni kabel S3x2,5/3+S(4x0,5)-10 m</t>
  </si>
  <si>
    <t xml:space="preserve">kos </t>
  </si>
  <si>
    <t>Tlačno koleno DN 80 PN 16 , vodila 2", s prirobnico po ISO 7005-2</t>
  </si>
  <si>
    <t>sidrni vijaki 4xM16 z ampulami za sidranje</t>
  </si>
  <si>
    <t>Zg. Držalo vodil iz SS AISI316 s pritrdilnim kpl</t>
  </si>
  <si>
    <r>
      <t xml:space="preserve">Vodila 2" iz SS AISI 304 - </t>
    </r>
    <r>
      <rPr>
        <b/>
        <sz val="12"/>
        <rFont val="Arial Narrow"/>
        <family val="2"/>
      </rPr>
      <t>dobavi montažer</t>
    </r>
  </si>
  <si>
    <t>Veriga iz SS AISI316, nosil. 500 kg, dolžine 9 m</t>
  </si>
  <si>
    <t>Vponka iz SS AISI316 nosilnost 900 kg</t>
  </si>
  <si>
    <t>Nepovratni kroglični ventil DN 80 PN 16 s prirobnicama po ISO 7005-2</t>
  </si>
  <si>
    <t>Zasun DN80 PN 16 s prirobnicama po ISO 7005-2</t>
  </si>
  <si>
    <t>skupaj</t>
  </si>
  <si>
    <t>Nabava in vgraditev fazonskih kosov</t>
  </si>
  <si>
    <t>in armature</t>
  </si>
  <si>
    <t>FFR DN 80/DN 100 PN 10</t>
  </si>
  <si>
    <t>varilna spojka dA 110 SDR 11 s prosto</t>
  </si>
  <si>
    <t>prirobnico</t>
  </si>
  <si>
    <t xml:space="preserve">Dobava in vgraditev cevi iz </t>
  </si>
  <si>
    <t xml:space="preserve">AISI 304 PN 10 - mere </t>
  </si>
  <si>
    <t xml:space="preserve">prilagoditi na licu mesta, vključno </t>
  </si>
  <si>
    <t>prirobnice</t>
  </si>
  <si>
    <t xml:space="preserve">T kos DN 80 s koleni 90 st (2kos) in </t>
  </si>
  <si>
    <t>prirobnicami (3 kos)</t>
  </si>
  <si>
    <t>Dobava in vgraditev krogelnega</t>
  </si>
  <si>
    <t xml:space="preserve">ventila PN 16 DN 50 za fekalne </t>
  </si>
  <si>
    <t>odplake, C priključka s pokrovom ter</t>
  </si>
  <si>
    <t xml:space="preserve">priključka 1/2" za kompresor, koleno </t>
  </si>
  <si>
    <t xml:space="preserve">DN 50 </t>
  </si>
  <si>
    <t>na tlačni cevovod v črpališču</t>
  </si>
  <si>
    <t>z vsem potrebnim materialom</t>
  </si>
  <si>
    <t xml:space="preserve">Nalaganje, dovoz do 1.0 km in </t>
  </si>
  <si>
    <t>zasip črpališča po končanih delih</t>
  </si>
  <si>
    <t xml:space="preserve">z izkopanim materialom </t>
  </si>
  <si>
    <t>Nalaganje in odvoz odvečnega</t>
  </si>
  <si>
    <t>materiala na deponijo do 10 km</t>
  </si>
  <si>
    <t>16*1,25</t>
  </si>
  <si>
    <t xml:space="preserve">Nabava in vgraditev lestve z </t>
  </si>
  <si>
    <t xml:space="preserve">vstopnim drogom </t>
  </si>
  <si>
    <t>material: AISI 304</t>
  </si>
  <si>
    <t>Izdelava, dobava in montaža jeklene varjene podkonstrukcije za izvedbo podesta izdelanega iz jekla kvalitete AISI 304. Izvedba po načrtu  (ocena kg)</t>
  </si>
  <si>
    <t>kg</t>
  </si>
  <si>
    <t>Izdelava, nabava in montaža pohodnih rešetk iz umetnih mas (poliesterske), kompletno z dobavo okvirja in pritrditvijo  - montaža na kovinsko podkonstrukcijo podesta</t>
  </si>
  <si>
    <t xml:space="preserve">Kompletna izdelava zračnika za črpališče iz cevi DN 100 PN 10 AISI304 v sestavi :cev L=2,50 m, koleno 90 st. in ventilacijska kapa </t>
  </si>
  <si>
    <t>Črpanje talne vode</t>
  </si>
  <si>
    <t>eur</t>
  </si>
  <si>
    <r>
      <t xml:space="preserve">jaška za črpalke </t>
    </r>
    <r>
      <rPr>
        <b/>
        <sz val="12"/>
        <rFont val="Arial Narrow"/>
        <family val="2"/>
        <charset val="238"/>
      </rPr>
      <t>DN 2000 mm:</t>
    </r>
    <r>
      <rPr>
        <sz val="12"/>
        <rFont val="Arial Narrow"/>
        <family val="2"/>
        <charset val="238"/>
      </rPr>
      <t xml:space="preserve"> </t>
    </r>
  </si>
  <si>
    <t>kd</t>
  </si>
  <si>
    <t>prirobnicami (3 kd)</t>
  </si>
  <si>
    <t>zasip jarka po končanih delih</t>
  </si>
  <si>
    <t>Nabava in vgraditev betona C30/37 v</t>
  </si>
  <si>
    <t>AB konstrukcijo (zaščita proti vzgonu),</t>
  </si>
  <si>
    <t>kompletno z opaženjem</t>
  </si>
  <si>
    <t>Nabava in vgraditev armature</t>
  </si>
  <si>
    <t>do fi 12</t>
  </si>
  <si>
    <t>nad fi 12</t>
  </si>
  <si>
    <t>S 500 B</t>
  </si>
  <si>
    <t>Fekalno črpališče Č1:</t>
  </si>
  <si>
    <t>4-6 m</t>
  </si>
  <si>
    <t>(115.43*1,25)</t>
  </si>
  <si>
    <t>H=5,51 m:</t>
  </si>
  <si>
    <t xml:space="preserve">1000 x 1500, klasa D 400 kN z </t>
  </si>
  <si>
    <t>Izdelava preboja za cev PP DN 315</t>
  </si>
  <si>
    <t>vključno tesnilo DN 315</t>
  </si>
  <si>
    <t>Izdelava preboja za cev DN 100</t>
  </si>
  <si>
    <t>vključno tesnilo DN 100</t>
  </si>
  <si>
    <t>Pinstal komplet (zaklep DN 100, tesnilo</t>
  </si>
  <si>
    <t>držalo kabla 19-27 mm</t>
  </si>
  <si>
    <t>Tlačno koleno DN 100 PN 16, vodila 2", s prirobnico po ISO 7005-2</t>
  </si>
  <si>
    <t>Nepovratni kroglični ventil DN 100 PN 16 s prirobnicama po ISO 7005-2</t>
  </si>
  <si>
    <t>Zasun DN 100 PN 16 s prirobnicama po ISO 7005-2</t>
  </si>
  <si>
    <t>FFR DN 10/DN 150 PN 10</t>
  </si>
  <si>
    <t>varilna spojka dA 160 SDR 17 s prosto</t>
  </si>
  <si>
    <t>FF DN 100   L=900 MM</t>
  </si>
  <si>
    <t xml:space="preserve">T kos DN 100 s koleni 90 st (2kd) in </t>
  </si>
  <si>
    <t>L=5,00 m</t>
  </si>
  <si>
    <t>Fekalno črpališče Č2:</t>
  </si>
  <si>
    <t>FF DN 100   L=2000 MM</t>
  </si>
  <si>
    <t>28,96*1,25</t>
  </si>
  <si>
    <t>(72,90*1,25)</t>
  </si>
  <si>
    <t>H=3,40</t>
  </si>
  <si>
    <t>Izdelava preboja za cev PP DN 200</t>
  </si>
  <si>
    <t>vključno tesnilo DN 200</t>
  </si>
  <si>
    <t>držalo kabla19-27 mm</t>
  </si>
  <si>
    <t>FF DN 80   L=900 MM</t>
  </si>
  <si>
    <t>FF DN 80   L=800 MM</t>
  </si>
  <si>
    <t>L=3,00 m</t>
  </si>
  <si>
    <t>II./ Kanal ŠTORE 01-1</t>
  </si>
  <si>
    <t>II.</t>
  </si>
  <si>
    <t>III./ Kanal  ŠTORE 01-1</t>
  </si>
  <si>
    <t>7.1</t>
  </si>
  <si>
    <t>8.1</t>
  </si>
  <si>
    <t>IV./ Kanal ŠTORE 01-1.2</t>
  </si>
  <si>
    <t>V./ Kanal ŠTORE 01-1.3</t>
  </si>
  <si>
    <t>VI./ Kanal ŠTORE 01-1.4</t>
  </si>
  <si>
    <t>V.</t>
  </si>
  <si>
    <t>VI.</t>
  </si>
  <si>
    <t>VII./ Kanal ŠTORE 01-2</t>
  </si>
  <si>
    <t>VII.</t>
  </si>
  <si>
    <t>VIII.</t>
  </si>
  <si>
    <t>II/</t>
  </si>
  <si>
    <t>IX.</t>
  </si>
  <si>
    <t>VIII./ Kanal ŠTORE 01-2.1</t>
  </si>
  <si>
    <t>IX./ Kanal ŠTORE 01-2.1.1</t>
  </si>
  <si>
    <t>X./ Kanal ŠTORE 01-3</t>
  </si>
  <si>
    <t>XI./ Kanal ŠTORE 01-3.1</t>
  </si>
  <si>
    <t>XII./ Kanal ŠTORE 01-3.2</t>
  </si>
  <si>
    <t>XIII./ Kanal ŠTORE 01-3.3</t>
  </si>
  <si>
    <t>X.</t>
  </si>
  <si>
    <t>XI.</t>
  </si>
  <si>
    <t>XII.</t>
  </si>
  <si>
    <t>XIII.</t>
  </si>
  <si>
    <t>XIV./ Tlačni kanal 01-T2</t>
  </si>
  <si>
    <t>XIV.</t>
  </si>
  <si>
    <t xml:space="preserve">XV./ Črpališče Č1 </t>
  </si>
  <si>
    <t>XVI./ Črpališče Č2</t>
  </si>
  <si>
    <t>XVII-I./ Elektro oprema črpališča Č1</t>
  </si>
  <si>
    <t>XVII-II./ Elektro NN priključek Č1</t>
  </si>
  <si>
    <t>XIX./ Zaključna dela</t>
  </si>
  <si>
    <t>XVIII-I./ Elektro oprema črpališča Č2</t>
  </si>
  <si>
    <t>XVIII-II./ Elektro NN priključek Č2</t>
  </si>
  <si>
    <t>Poz.</t>
  </si>
  <si>
    <t>Naziv dela in materiala</t>
  </si>
  <si>
    <t>kol</t>
  </si>
  <si>
    <t>EM</t>
  </si>
  <si>
    <t>Cena (Eur)</t>
  </si>
  <si>
    <t>Skupaj (Eur)</t>
  </si>
  <si>
    <t>1.</t>
  </si>
  <si>
    <t>RAZDELILCI</t>
  </si>
  <si>
    <t>(dobava in montaža)</t>
  </si>
  <si>
    <t>-</t>
  </si>
  <si>
    <t>prosto stoječa plastična omarica dim. 1000x1250x320, z visokim podstavkom, s strešico, ključavnico in z vgrajeno naslednjo opremo:</t>
  </si>
  <si>
    <t>glavno stikalo; preklopno mreža-0-agregat; 32A; z rdečim ročajem; 4 pol; 
kot npr. KG32A-K950- VE21</t>
  </si>
  <si>
    <t>instalacijski odklopnik 3f; C32A; 10kA 
(ožičeno po enopolni shemi)</t>
  </si>
  <si>
    <t>instalacijski odklopnik 3f; C6A; 10kA 
(ožičeno po enopolni shemi)</t>
  </si>
  <si>
    <t>KZS C16/30mA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</si>
  <si>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</si>
  <si>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</si>
  <si>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</si>
  <si>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</si>
  <si>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</si>
  <si>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</si>
  <si>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</si>
  <si>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</si>
  <si>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</si>
  <si>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</si>
  <si>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</si>
  <si>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</si>
  <si>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gralec na DIN letev 0-60C</t>
  </si>
  <si>
    <t>termostat NO za ventilator na DIN letev 0-60C</t>
  </si>
  <si>
    <t>prenapetostna zaščita 
enakovredno kot npr.: Phoenix Contact MT-2PE-230VAC</t>
  </si>
  <si>
    <t>napetostni nadzorni rele  UR5P3011</t>
  </si>
  <si>
    <t>prenapetostna zaščita PZV 301 24VDC</t>
  </si>
  <si>
    <t>Tipka RUMENA 1NO, enakovredno kot npr. RMQ Titan M22 kpl z nosilcem oznake, adapterjem in stikalnim elementom, montaža na DIN letev</t>
  </si>
  <si>
    <t>stikalo preklopno 1-0-2;25A 2p; CG8A211 VE21</t>
  </si>
  <si>
    <t>krmilno preklopno stikalo 0-1-2-3, 20A, 2p, pritrditev na letev</t>
  </si>
  <si>
    <t>krmilno preklopno stikalo 1-2, 25A, 2p, pritrditev na letev</t>
  </si>
  <si>
    <t>krmilno stikalo 0-1, 25A, 1p, pritrditev na letev</t>
  </si>
  <si>
    <t>stikalo izklopno 0-1; 25A; 1p CG8A200 VE12</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</si>
  <si>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</si>
  <si>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</si>
  <si>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</si>
  <si>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5A</t>
  </si>
  <si>
    <t>stabiliziran usmernik  230VAC / 12VDC 10A</t>
  </si>
  <si>
    <t>transformator ločilni 230VAC/24VAC 100VA</t>
  </si>
  <si>
    <t>krmilnik z naslednjimi konfiguracijami kot npr.:</t>
  </si>
  <si>
    <t xml:space="preserve">krmilnik UNITRONICS V570-57-T20B, OPLC Vision, LCD prikazovalnik </t>
  </si>
  <si>
    <t>EX-A2X I/O Expansion Module Adapter</t>
  </si>
  <si>
    <t>I/O Expansion Modul Ex-D16A3-RO8; 16DI, 3AI, 8RO</t>
  </si>
  <si>
    <t>I/O Expansion Modul IO-D0808; 8DI,8DO</t>
  </si>
  <si>
    <t xml:space="preserve">izdelava aplikativne programske opreme za krmilnik
-  18x DI
-  4x DO
-  1x AI
</t>
  </si>
  <si>
    <t>izdelava SCADA aplikacije v nadzornem centru, prenos podatkov po UKV povezavi, zagon in testiranje</t>
  </si>
  <si>
    <t>usposabljanje in izobraževanje upravljalca sistema ter testiranje in spuščanje v pogon</t>
  </si>
  <si>
    <t>izdelava projekta radijskih zvez in pridobitev radijskega dovoljenja</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</si>
  <si>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</si>
  <si>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</si>
  <si>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</si>
  <si>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</si>
  <si>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</si>
  <si>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</si>
  <si>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</si>
  <si>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</si>
  <si>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 xml:space="preserve"> </t>
  </si>
  <si>
    <t>RAZDELILEC skupaj:</t>
  </si>
  <si>
    <t>2.</t>
  </si>
  <si>
    <t>KABELSKI RAZVOD</t>
  </si>
  <si>
    <t>kabel NYY-J 4 x 10mm2</t>
  </si>
  <si>
    <t>kabel NYY-J 5 x 10mm2</t>
  </si>
  <si>
    <t>kabel H07RR 3x0,75 mm2 gumi</t>
  </si>
  <si>
    <t>žica H07V-K 16 mm2</t>
  </si>
  <si>
    <t>žica H07V-K 6 mm2</t>
  </si>
  <si>
    <t>KABELSKI RAZVOD skupaj:</t>
  </si>
  <si>
    <t>3.</t>
  </si>
  <si>
    <t>OSTALI ELEKTROINSTALACIJSKI MATERIAL in DELA</t>
  </si>
  <si>
    <t>cev Stigmaflex fi 75mm</t>
  </si>
  <si>
    <t>zaščitni trak (pozor elektrika)</t>
  </si>
  <si>
    <t>dobava in montaža končnega stikala za kontrolo vstopa</t>
  </si>
  <si>
    <t>dobava in montaža zvezdne merilne sonde PPI 100 EItra  komplet z tipskim kablom  20m</t>
  </si>
  <si>
    <t>polaganja tipskega kabla za priklop črpalk do 20m</t>
  </si>
  <si>
    <t>dobava in montaža nivojskih stikal hruška komplet s tipskim kablom 20m</t>
  </si>
  <si>
    <t xml:space="preserve">INOX zaščitna cev premera 0.5"-1";za zaščito kablov; komplet s pritrditvami </t>
  </si>
  <si>
    <t>kabelska polica PK 100 Rf komplet s spojnim in nosilnim materialom</t>
  </si>
  <si>
    <t>kabelska polica PK 50 Rf komplet s spojnim in nosilnim materialom</t>
  </si>
  <si>
    <t>inox objemke za pritrditev nivojne sonde</t>
  </si>
  <si>
    <t>Inox trak 30x3,5mm</t>
  </si>
  <si>
    <t>izdelava galvanskih spojev iz INOX materiala</t>
  </si>
  <si>
    <t>razvodnica DIP dodatne izenačitve potenciala</t>
  </si>
  <si>
    <t>križne sponke INOX</t>
  </si>
  <si>
    <t>armaturna sponka 
enakovredno kot npr.: Hermi - KON09</t>
  </si>
  <si>
    <t>premaz za antikorozijsko zaščito bitumen</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</si>
  <si>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</si>
  <si>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</si>
  <si>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</si>
  <si>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</si>
  <si>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</si>
  <si>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</si>
  <si>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OSTALI MATERIAL in DELA skupaj:</t>
  </si>
  <si>
    <t>4.</t>
  </si>
  <si>
    <t>PRIKLOPI</t>
  </si>
  <si>
    <t>dvostranski priklop kabla 4x10mm2</t>
  </si>
  <si>
    <t>priklop črpalke 2,2 kW</t>
  </si>
  <si>
    <t>priklop nivojske sonde</t>
  </si>
  <si>
    <t>priklop plovno stikalo</t>
  </si>
  <si>
    <t>priklop končnega stikala</t>
  </si>
  <si>
    <t>PRIKLOPI skupaj:</t>
  </si>
  <si>
    <t>5.</t>
  </si>
  <si>
    <t>GRADBENA DELA</t>
  </si>
  <si>
    <t>izkop in zasutje stojnega mesta za temelj razdelilca</t>
  </si>
  <si>
    <t>izdelava betonske podloge za temelj razdelilca dim. 1,0x1,0x0,3 m</t>
  </si>
  <si>
    <t>izkop in zasutje jarka globine 0.9 m in 0.3 m širine ter ponovna zatravitev oz. vrnitev v prvotno stanje</t>
  </si>
  <si>
    <t>GRADBENA DELA skupaj :</t>
  </si>
  <si>
    <t>RAZDELILEC</t>
  </si>
  <si>
    <t>6.</t>
  </si>
  <si>
    <t xml:space="preserve">PRIPRAVA DELA IN TRANSPORT </t>
  </si>
  <si>
    <t>7.</t>
  </si>
  <si>
    <t>NEPREDVIDENA DELA poz. 1- 5 10%</t>
  </si>
  <si>
    <t>8.</t>
  </si>
  <si>
    <t>STROŠKI ZAVAROVANJA OPREME MED IZVAJANJEM DEL IN PO IZVEDBI DEL V GARANCIJSKEM ROKU</t>
  </si>
  <si>
    <t>9.</t>
  </si>
  <si>
    <t>MERITVE ZAŠČITE PROTI UDARU ELEKTRIČNEGA TOKA, IZOLACIJSKE TRDNOSTI KABELSKIH VODNIKOV, GALVANSKIH POVEZAV KOVINSKIH MAS IN PONIKALNE UPORNOSTI STRELOVODNE OZEMLJITVE IN IZDAJA USTREZNE DOKUMENTACIJE V SKLADU S PREDPISI IN PROTOKOLI</t>
  </si>
  <si>
    <t>10.</t>
  </si>
  <si>
    <t>GEODETSKI POSNETEK</t>
  </si>
  <si>
    <t>11.</t>
  </si>
  <si>
    <t>IZDELAVA PID</t>
  </si>
  <si>
    <t>S K U P A J (brez DDV)</t>
  </si>
  <si>
    <t>EUR</t>
  </si>
  <si>
    <t>ME</t>
  </si>
  <si>
    <t>RAZDELILNIK PSMO ČRPALIŠČE Č1</t>
  </si>
  <si>
    <t>(dobava in montaža )</t>
  </si>
  <si>
    <t xml:space="preserve">Prostostoječa plastična omarica PS PMO izdelana iz umetne mase: Schrack MAXIPOL dim. 500x1000x312, enokrilna vrata;  ključavnico, podstavek dim. 500x960x320, montažno ploščo in z vgrajeno naslednjo opremo:
</t>
  </si>
  <si>
    <t>varovalni element 00.ST6 kpl. z varovalkami  1x3x20A</t>
  </si>
  <si>
    <t xml:space="preserve">direktni trifazni dvosmerni števec delovne energije in jalove energije z notranjo uro razreda točnosti A za delovno energijo in 2 za jalovo energijo z G3-PLC komunikacijskim vmesnikom </t>
  </si>
  <si>
    <t>odvodnik prenapetosti
razred I
Uc=275V, Up&lt;1,2 kV, 
Iimp=12,5 kA, 10/350 µs
komplet z ozemljitveno šino (kot npr. ETITEC B, ETI)</t>
  </si>
  <si>
    <t>PEN zbiralka, vrstne sponke</t>
  </si>
  <si>
    <t>napisne ploščice, oznake ter drobni in vezni material</t>
  </si>
  <si>
    <t>RAZDELILNIK SKUPAJ:</t>
  </si>
  <si>
    <t>(dobava in polaganje)</t>
  </si>
  <si>
    <t>Kabel EAY2Y-J 4x70+1,5 mm2, položen na peščeno posteljico oziroma uvlečen v kabelsko kanalizacijo</t>
  </si>
  <si>
    <t>opozorilni trak</t>
  </si>
  <si>
    <t>ščitniki GAL rdeči</t>
  </si>
  <si>
    <t>KABELSKI RAZVOD skupaj :</t>
  </si>
  <si>
    <t>zakoličba trase kablovoda</t>
  </si>
  <si>
    <t>izdelava betonske podloge za temelj razdelilca dim. 0,75x0,45x0,3 m</t>
  </si>
  <si>
    <t>Rezanje asflatnih površin v širini 0.3 m komplet z odklop asfalta in odvoza na deponijo</t>
  </si>
  <si>
    <t xml:space="preserve">izkop in zasutje jarka ktg. IV. globine 0.9 m in 0.3 m širine </t>
  </si>
  <si>
    <t>izkop in zasutje jarka ktg. III. globine 0.9 m in 0.3 m širine komplet z blazinico iz mivke za položitev kabla</t>
  </si>
  <si>
    <t>Izdelava gradbene jame 1.0x1.0x1.0m za podvrtanje</t>
  </si>
  <si>
    <t>Podvrtanje industrijske železniške proge v dolžini 8m, komplet z zaščitno kovinsko cevjo fi 160mm</t>
  </si>
  <si>
    <t>Izkop jame in izdelava elektro jaška iz betonske cevi fi 800/1000mm komplet s povoznim LTŽ pokrovom fi 60 40t in obbetoniranje</t>
  </si>
  <si>
    <t xml:space="preserve">zaščitna cev DWP fi 110 mm </t>
  </si>
  <si>
    <t>tm</t>
  </si>
  <si>
    <t>obbetoniranje zaščitne cevi v povoznih površinah</t>
  </si>
  <si>
    <t>utrditev jarka v cestnih površinah za asfaltiranje</t>
  </si>
  <si>
    <t xml:space="preserve">asfaltiranje cestišča širine 0.3m </t>
  </si>
  <si>
    <t>odvoz odvečnega materiala na deponijo</t>
  </si>
  <si>
    <t>OSTALI MATERIAL IN DELA</t>
  </si>
  <si>
    <t>valjanec 25x4 mm</t>
  </si>
  <si>
    <t>križna sponka</t>
  </si>
  <si>
    <t>Izdelava samoskrčnih kabelskih končnikov za kabel iz PVC mase (4 x70 mm2), montaža kabelskih čevljev Al-Cu</t>
  </si>
  <si>
    <t>dvostranski priklop dovodnega kabla EAY2Y-J 4x70+1,5  mm² za napajanje razdelilca PS-PMO kpl. z drobnim materialom</t>
  </si>
  <si>
    <t>odvodnik prenapetosti razred I, MOSIPO 15/440 izvedba za montažo na NN drog</t>
  </si>
  <si>
    <t>vertikalna INOX zaščita za valjenec h=1,5m</t>
  </si>
  <si>
    <t>pritrdilni element valjenca na NN drog</t>
  </si>
  <si>
    <t>križna sponka INOX</t>
  </si>
  <si>
    <t>konzola</t>
  </si>
  <si>
    <t>odcepne sponke 70mm2</t>
  </si>
  <si>
    <t>ozemljitvena vrv 10 m</t>
  </si>
  <si>
    <t>mehanska zaščita kabla na NN drogu</t>
  </si>
  <si>
    <t>objemka za fiksiranje kabla na NN drog</t>
  </si>
  <si>
    <t>premaz za antikorozijsko zaščito</t>
  </si>
  <si>
    <t>OSTALI MATERIAL IN DELA skupaj :</t>
  </si>
  <si>
    <t>NEPREDVIDENA DELA  (5%)</t>
  </si>
  <si>
    <t>NADZOR ELEKTRODISTRIBUCIJE IN STIKALNE MANIPULACIJE PRI PRIKLOPU OBJEKTA</t>
  </si>
  <si>
    <t>POVPREČNI STROŠKI PRIKLJUČEVANJA (ELEKTROENERGETSKI PRISPEVEK) 1x3x20 A varovalka</t>
  </si>
  <si>
    <t>STROŠKI UREDITVE DOKUMENTACIJE ZA PRIKLJUČITEV NA EE OMREŽJE PO PREDHODNO PRIDOBLJENEM POOBLASTILU S STRANI INVESTITORJA</t>
  </si>
  <si>
    <t>PREGLED, PREIZKUS in MERITVE ZAŠČITE PROTI UDARU ELEKTRIČNEGA TOKA, IZOLACIJSKE TRDNOSTI KABELSKIH VODNIKOV, GALVANSKIH POVEZAV KOVINSKIH MAS IN  PONIKALNE UPORNOSTI OZEMLJITVE TER IZDAJA USTREZNE DOKUMENTACIJE V SKLADU S PREDPISI IN PROTOKOLI</t>
  </si>
  <si>
    <t>12.</t>
  </si>
  <si>
    <t>PROJEKTANTSKI NADZOR</t>
  </si>
  <si>
    <t>13.</t>
  </si>
  <si>
    <t xml:space="preserve">IZDELAVA NAČRTA PID </t>
  </si>
  <si>
    <r>
      <rPr>
        <i/>
        <u/>
        <sz val="10"/>
        <rFont val="Arial"/>
        <family val="2"/>
        <charset val="238"/>
      </rPr>
      <t>OPOMBA :</t>
    </r>
    <r>
      <rPr>
        <i/>
        <sz val="10"/>
        <rFont val="Arial"/>
        <family val="2"/>
        <charset val="238"/>
      </rPr>
      <t xml:space="preserve"> Gradbena dela je potrebno usladiti  z izvajalcem gradbenih del za potrebe strojne instalacije.</t>
    </r>
  </si>
  <si>
    <t>RAZDELILNIK PSMO ČRPALIŠČE Č2</t>
  </si>
  <si>
    <t>izkop in zasutje jarka ktg. IV. globine 0.9 m in 0.3 m širine ter ponovna zatravitev oz. vrnitev v prvotno stanje</t>
  </si>
  <si>
    <t>zaščitna cev fi 110 mm na križanjih s komunikacijskimi kabli in uvod kablov v razdelilca</t>
  </si>
  <si>
    <t>varovalni vložki NV00 35A</t>
  </si>
  <si>
    <t>XV./ Fekalno črpališče Č1</t>
  </si>
  <si>
    <t>XV.</t>
  </si>
  <si>
    <t>XVI./ Fekalno črpališče Č2</t>
  </si>
  <si>
    <t>XVI./</t>
  </si>
  <si>
    <t>XIX./ OSTALA DELA</t>
  </si>
  <si>
    <t>XIX./</t>
  </si>
  <si>
    <t>Nabava in vgraditev zaščitnih cevi PE 100 dA 280 SDR 17 L=6.00 m za izvedbo križanja z vodovodom, vključno z vsemi potrebnimi deli in materialom.</t>
  </si>
  <si>
    <t>Nabava in vgraditev zaščitnih cevi PE 100 dA 355 SDR 17 L=6.00 m za izvedbo križanja z vodovodom, vključno z vsemi potrebnimi deli in materialom.</t>
  </si>
  <si>
    <r>
      <t xml:space="preserve">Strojni izkop jarka v zemljini </t>
    </r>
    <r>
      <rPr>
        <sz val="10"/>
        <rFont val="Arial"/>
        <family val="2"/>
        <charset val="238"/>
      </rPr>
      <t xml:space="preserve">V. ktg,  široki z nalaganjem na vozilo ter odvozom na stalno deponijo, vključno s stroški deponiranja.          </t>
    </r>
  </si>
  <si>
    <t>Nabava in vgraditev zaščitnih cevi PVC D 355 SN8 z obbetoniranjem C12/15 L=3.00 m za izvedbo križanja, vključno z vsemi potrebnimi deli in materialom.</t>
  </si>
  <si>
    <t>Nabava, transport in vgraditev tampona I (TP 32) v debelini 30 cm z uvaljanjem Ev2&gt;= 100 Mpa za izvedbo zgornjega ustroja.- makadam</t>
  </si>
  <si>
    <t>Nalaganje in odvoz odvečnega materiala na začasni deponiji na stalno deponijo do 10 km vključno s stroški deponiranja. 16,43*1,25</t>
  </si>
  <si>
    <t>Valjanje in planiranje planuma z zaklinjanjem tampona makadam</t>
  </si>
  <si>
    <t xml:space="preserve">Dobava in polaganje kanalizacijskih tlačnih cevi PE 100 dA 110 x 6,6  SDR 17, spajanje z elektrovarilnimi spojkami  </t>
  </si>
  <si>
    <t xml:space="preserve">batnimi plinskimi blažilci in </t>
  </si>
  <si>
    <t>črpališča</t>
  </si>
  <si>
    <t>8a</t>
  </si>
  <si>
    <t>Dobava, transport in montaža vmesnika, ki omogoča priključitev prenosnega računalnika s katerim lahko pregledamo vse podatke o delovanju črpalke (zgodovina) in nastavljamo parametre črpalke in se vgradi v elektro omarico črpališča.</t>
  </si>
  <si>
    <t xml:space="preserve">Nabava in vgraditev karabin lestve z </t>
  </si>
  <si>
    <t xml:space="preserve">varovalom in vstopnim drogom </t>
  </si>
  <si>
    <t xml:space="preserve">plinskimi batnimi blažilci in </t>
  </si>
  <si>
    <t xml:space="preserve">črpališča </t>
  </si>
  <si>
    <r>
      <t xml:space="preserve">Izdelava PID-a ter dokazila o zanesljivosti objekta. Investitorju je potrebno predati dokumentacijo v </t>
    </r>
    <r>
      <rPr>
        <b/>
        <sz val="10"/>
        <rFont val="Arial"/>
        <family val="2"/>
        <charset val="238"/>
      </rPr>
      <t>treh izvodih za vse kanale in črpališča</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</si>
  <si>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podprojekta Pečovje Štore.</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</si>
  <si>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Pečovje Štore.</t>
    </r>
  </si>
  <si>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podprojekta Pečovje Štore.</t>
    </r>
  </si>
  <si>
    <t>OBJEKT: IZGRADNJA MANJKAJOČE JAVNE INFRASTRUKTURE ZA ODVAJANJE IN ČIŠČENJE ODPADNIH VODA V AGLOMERACIJI ŠTORE - LIPA- PEČOVJE</t>
  </si>
  <si>
    <r>
      <t xml:space="preserve">Dobava, transport in montaža litoželezne potopne-pametne samočistilne črpalke za odpadno vodo in blato DN 100mm.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 20,0 l/s, Hč= 5,1mVS</t>
    </r>
  </si>
  <si>
    <r>
      <t xml:space="preserve">Dobava, transport in montaža litoželezne potopne-pametne samočistilne črpalke za odpadno vodo in blato DN 80mm.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 6,0 l/s, Hč= 6,4mVS</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</si>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</sst>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0.00\ &quot;€&quot;;\-#,##0.00\ &quot;€&quot;"/>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_)"/>
    <numFmt numFmtId="172" formatCode="0.00_)"/>
    <numFmt numFmtId="173" formatCode="#,##0.00_ ;\-#,##0.00\ "/>
    <numFmt numFmtId="174" formatCode="0.#"/>
    <numFmt numFmtId="175" formatCode="0."/>
    <numFmt numFmtId="176" formatCode="0.##"/>
  </numFmts>
  <fonts count="6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4"/>
      <name val="Arial"/>
      <family val="2"/>
    </font>
    <font>
      <b/>
      <sz val="14"/>
      <name val="Arial"/>
      <family val="2"/>
    </font>
    <font>
      <sz val="11"/>
      <name val="Arial"/>
      <family val="2"/>
    </font>
    <font>
      <sz val="12"/>
      <name val="Arial Narrow"/>
      <family val="2"/>
      <charset val="238"/>
    </font>
    <font>
      <b/>
      <sz val="12"/>
      <name val="Arial Narrow"/>
      <family val="2"/>
      <charset val="238"/>
    </font>
    <font>
      <b/>
      <sz val="12"/>
      <name val="Arial Narrow"/>
      <family val="2"/>
    </font>
    <font>
      <b/>
      <i/>
      <sz val="12"/>
      <name val="Arial Narrow"/>
      <family val="2"/>
    </font>
    <font>
      <b/>
      <i/>
      <u/>
      <sz val="12"/>
      <name val="Arial Narrow"/>
      <family val="2"/>
      <charset val="238"/>
    </font>
    <font>
      <sz val="12"/>
      <color rgb="FFFF0000"/>
      <name val="Arial Narrow"/>
      <family val="2"/>
      <charset val="238"/>
    </font>
    <font>
      <sz val="12"/>
      <color indexed="10"/>
      <name val="Arial Narrow"/>
      <family val="2"/>
      <charset val="238"/>
    </font>
    <font>
      <sz val="11"/>
      <name val="Arial Narrow"/>
      <family val="2"/>
      <charset val="238"/>
    </font>
    <font>
      <sz val="12"/>
      <name val="Times New Roman CE"/>
      <family val="1"/>
      <charset val="238"/>
    </font>
    <font>
      <sz val="11"/>
      <name val="Calibri"/>
      <family val="2"/>
      <charset val="238"/>
      <scheme val="minor"/>
    </font>
    <font>
      <sz val="8"/>
      <name val="Arial CE"/>
      <family val="2"/>
      <charset val="238"/>
    </font>
    <font>
      <sz val="10"/>
      <color theme="0"/>
      <name val="Arial"/>
      <family val="2"/>
    </font>
    <font>
      <b/>
      <i/>
      <sz val="11"/>
      <name val="Arial"/>
      <family val="2"/>
      <charset val="238"/>
    </font>
    <font>
      <b/>
      <sz val="8"/>
      <name val="Arial"/>
      <family val="2"/>
      <charset val="238"/>
    </font>
    <font>
      <b/>
      <sz val="9"/>
      <name val="Arial"/>
      <family val="2"/>
      <charset val="238"/>
    </font>
    <font>
      <sz val="11"/>
      <name val="Times New Roman"/>
      <family val="1"/>
      <charset val="238"/>
    </font>
    <font>
      <b/>
      <sz val="11"/>
      <name val="Times New Roman"/>
      <family val="1"/>
      <charset val="238"/>
    </font>
    <font>
      <i/>
      <sz val="10"/>
      <name val="Arial"/>
      <family val="2"/>
      <charset val="238"/>
    </font>
    <font>
      <i/>
      <u/>
      <sz val="10"/>
      <name val="Arial"/>
      <family val="2"/>
      <charset val="238"/>
    </font>
    <font>
      <sz val="12"/>
      <name val="Arial Narrow"/>
      <family val="2"/>
    </font>
  </fonts>
  <fills count="3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0.249977111117893"/>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242">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3" applyNumberFormat="0" applyAlignment="0" applyProtection="0"/>
    <xf numFmtId="0" fontId="17" fillId="0" borderId="0" applyNumberFormat="0" applyFill="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17"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18" applyNumberFormat="0" applyFill="0" applyAlignment="0" applyProtection="0"/>
    <xf numFmtId="0" fontId="25" fillId="30" borderId="19" applyNumberFormat="0" applyAlignment="0" applyProtection="0"/>
    <xf numFmtId="0" fontId="26" fillId="23" borderId="20" applyNumberFormat="0" applyAlignment="0" applyProtection="0"/>
    <xf numFmtId="0" fontId="27" fillId="10" borderId="0" applyNumberFormat="0" applyBorder="0" applyAlignment="0" applyProtection="0"/>
    <xf numFmtId="0" fontId="11" fillId="0" borderId="0"/>
    <xf numFmtId="0" fontId="28" fillId="14" borderId="20" applyNumberFormat="0" applyAlignment="0" applyProtection="0"/>
    <xf numFmtId="0" fontId="29" fillId="0" borderId="21"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25"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applyFill="0" applyBorder="0"/>
  </cellStyleXfs>
  <cellXfs count="561">
    <xf numFmtId="0" fontId="0" fillId="0" borderId="0" xfId="0"/>
    <xf numFmtId="0" fontId="0" fillId="0" borderId="0" xfId="0" applyAlignment="1">
      <alignment horizontal="center" vertical="top"/>
    </xf>
    <xf numFmtId="2" fontId="0" fillId="0" borderId="0" xfId="0" applyNumberFormat="1" applyAlignment="1">
      <alignment horizontal="center"/>
    </xf>
    <xf numFmtId="44" fontId="7" fillId="0" borderId="6" xfId="0" applyNumberFormat="1" applyFont="1" applyBorder="1"/>
    <xf numFmtId="0" fontId="0" fillId="0" borderId="0" xfId="0"/>
    <xf numFmtId="0" fontId="6" fillId="31" borderId="9" xfId="0" applyFont="1" applyFill="1" applyBorder="1" applyAlignment="1">
      <alignment horizontal="center"/>
    </xf>
    <xf numFmtId="0" fontId="6" fillId="31" borderId="10" xfId="0" applyFont="1" applyFill="1" applyBorder="1"/>
    <xf numFmtId="44" fontId="6" fillId="31" borderId="11" xfId="0" applyNumberFormat="1" applyFont="1" applyFill="1" applyBorder="1"/>
    <xf numFmtId="0" fontId="0" fillId="31" borderId="0" xfId="0" applyFill="1"/>
    <xf numFmtId="0" fontId="36" fillId="0" borderId="0" xfId="0" applyFont="1"/>
    <xf numFmtId="0" fontId="37" fillId="2" borderId="23" xfId="0" applyFont="1" applyFill="1" applyBorder="1" applyAlignment="1">
      <alignment horizontal="center" vertical="center"/>
    </xf>
    <xf numFmtId="2" fontId="37" fillId="2" borderId="23"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8" borderId="2" xfId="0" applyFont="1" applyFill="1" applyBorder="1" applyAlignment="1">
      <alignment horizontal="center"/>
    </xf>
    <xf numFmtId="2" fontId="5" fillId="8" borderId="2" xfId="0" applyNumberFormat="1" applyFont="1" applyFill="1" applyBorder="1" applyAlignment="1">
      <alignment horizontal="center"/>
    </xf>
    <xf numFmtId="0" fontId="5" fillId="0" borderId="28" xfId="0" applyFont="1" applyBorder="1" applyAlignment="1">
      <alignment horizontal="left" vertical="center" wrapText="1"/>
    </xf>
    <xf numFmtId="0" fontId="5" fillId="0" borderId="28" xfId="0" applyFont="1" applyBorder="1" applyAlignment="1">
      <alignment horizontal="center"/>
    </xf>
    <xf numFmtId="2" fontId="5" fillId="0" borderId="28" xfId="0" applyNumberFormat="1" applyFont="1" applyBorder="1" applyAlignment="1">
      <alignment horizontal="center"/>
    </xf>
    <xf numFmtId="44" fontId="5" fillId="0" borderId="32" xfId="1" applyNumberFormat="1" applyFont="1" applyBorder="1" applyAlignment="1">
      <alignment horizontal="right"/>
    </xf>
    <xf numFmtId="0" fontId="5" fillId="0" borderId="8" xfId="0" applyFont="1" applyBorder="1" applyAlignment="1">
      <alignment horizontal="left" vertical="center" wrapText="1"/>
    </xf>
    <xf numFmtId="0" fontId="5" fillId="0" borderId="8" xfId="0" applyFont="1" applyBorder="1" applyAlignment="1">
      <alignment horizontal="center"/>
    </xf>
    <xf numFmtId="2" fontId="5" fillId="0" borderId="8" xfId="0" applyNumberFormat="1" applyFont="1" applyBorder="1" applyAlignment="1">
      <alignment horizontal="center"/>
    </xf>
    <xf numFmtId="44" fontId="5" fillId="0" borderId="27" xfId="1" applyNumberFormat="1" applyFont="1" applyBorder="1" applyAlignment="1">
      <alignment horizontal="right"/>
    </xf>
    <xf numFmtId="0" fontId="5" fillId="0" borderId="8" xfId="24" applyFont="1" applyBorder="1" applyAlignment="1">
      <alignment horizontal="left" vertical="center" wrapText="1"/>
    </xf>
    <xf numFmtId="0" fontId="5" fillId="0" borderId="8" xfId="0" applyFont="1" applyBorder="1" applyAlignment="1">
      <alignment horizontal="left" vertical="center" wrapText="1" shrinkToFit="1"/>
    </xf>
    <xf numFmtId="0" fontId="5" fillId="0" borderId="8" xfId="24" applyFont="1" applyBorder="1" applyAlignment="1">
      <alignment horizontal="center"/>
    </xf>
    <xf numFmtId="44" fontId="5" fillId="0" borderId="8" xfId="1" applyNumberFormat="1" applyFont="1" applyBorder="1" applyAlignment="1">
      <alignment horizontal="right"/>
    </xf>
    <xf numFmtId="0" fontId="37" fillId="3" borderId="23" xfId="0" applyFont="1" applyFill="1" applyBorder="1" applyAlignment="1">
      <alignment horizontal="left" vertical="center"/>
    </xf>
    <xf numFmtId="0" fontId="37" fillId="3" borderId="23" xfId="0" applyFont="1" applyFill="1" applyBorder="1" applyAlignment="1">
      <alignment horizontal="center"/>
    </xf>
    <xf numFmtId="2" fontId="37" fillId="3" borderId="23" xfId="0" applyNumberFormat="1" applyFont="1" applyFill="1" applyBorder="1" applyAlignment="1">
      <alignment horizontal="center"/>
    </xf>
    <xf numFmtId="0" fontId="37" fillId="4" borderId="29" xfId="0" applyFont="1" applyFill="1" applyBorder="1" applyAlignment="1">
      <alignment horizontal="left" vertical="center"/>
    </xf>
    <xf numFmtId="0" fontId="37" fillId="4" borderId="29" xfId="0" applyFont="1" applyFill="1" applyBorder="1" applyAlignment="1">
      <alignment horizontal="center"/>
    </xf>
    <xf numFmtId="2" fontId="37" fillId="4" borderId="29" xfId="0" applyNumberFormat="1" applyFont="1" applyFill="1" applyBorder="1" applyAlignment="1">
      <alignment horizontal="center"/>
    </xf>
    <xf numFmtId="0" fontId="37" fillId="6" borderId="1" xfId="0" applyFont="1" applyFill="1" applyBorder="1" applyAlignment="1">
      <alignment horizontal="left" vertical="center"/>
    </xf>
    <xf numFmtId="0" fontId="5" fillId="6" borderId="2" xfId="0" applyFont="1" applyFill="1" applyBorder="1" applyAlignment="1">
      <alignment horizontal="center"/>
    </xf>
    <xf numFmtId="2" fontId="5" fillId="6" borderId="2" xfId="0" applyNumberFormat="1" applyFont="1" applyFill="1" applyBorder="1" applyAlignment="1">
      <alignment horizontal="center"/>
    </xf>
    <xf numFmtId="0" fontId="39" fillId="0" borderId="12" xfId="0" applyFont="1" applyBorder="1" applyAlignment="1">
      <alignment horizontal="left" vertical="center" wrapText="1"/>
    </xf>
    <xf numFmtId="0" fontId="5" fillId="0" borderId="12" xfId="0" applyFont="1" applyBorder="1" applyAlignment="1">
      <alignment horizontal="center"/>
    </xf>
    <xf numFmtId="2" fontId="5" fillId="0" borderId="12" xfId="0" applyNumberFormat="1" applyFont="1" applyBorder="1" applyAlignment="1">
      <alignment horizontal="center"/>
    </xf>
    <xf numFmtId="0" fontId="39" fillId="0" borderId="8" xfId="0" applyFont="1" applyBorder="1" applyAlignment="1">
      <alignment horizontal="left" vertical="center" wrapText="1"/>
    </xf>
    <xf numFmtId="44" fontId="5" fillId="0" borderId="27" xfId="17" applyNumberFormat="1" applyFont="1" applyFill="1" applyBorder="1" applyAlignment="1">
      <alignment horizontal="right"/>
    </xf>
    <xf numFmtId="0" fontId="5" fillId="4" borderId="8" xfId="0" applyFont="1" applyFill="1" applyBorder="1" applyAlignment="1">
      <alignment horizontal="left" vertical="center" wrapText="1"/>
    </xf>
    <xf numFmtId="44" fontId="5" fillId="4" borderId="27" xfId="1" applyNumberFormat="1" applyFont="1" applyFill="1" applyBorder="1" applyAlignment="1">
      <alignment horizontal="right"/>
    </xf>
    <xf numFmtId="0" fontId="37" fillId="6" borderId="2" xfId="0" applyFont="1" applyFill="1" applyBorder="1" applyAlignment="1">
      <alignment horizontal="center"/>
    </xf>
    <xf numFmtId="2" fontId="37" fillId="6" borderId="2" xfId="0" applyNumberFormat="1" applyFont="1" applyFill="1" applyBorder="1" applyAlignment="1">
      <alignment horizontal="center"/>
    </xf>
    <xf numFmtId="0" fontId="37" fillId="5" borderId="1" xfId="0" applyFont="1" applyFill="1" applyBorder="1" applyAlignment="1">
      <alignment horizontal="left"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0" fontId="39" fillId="0" borderId="28" xfId="0" applyFont="1" applyBorder="1" applyAlignment="1">
      <alignment horizontal="left" vertical="center" wrapText="1"/>
    </xf>
    <xf numFmtId="0" fontId="37" fillId="5" borderId="2" xfId="0" applyFont="1" applyFill="1" applyBorder="1" applyAlignment="1">
      <alignment horizontal="center"/>
    </xf>
    <xf numFmtId="2" fontId="37" fillId="5" borderId="2" xfId="0" applyNumberFormat="1" applyFont="1" applyFill="1" applyBorder="1" applyAlignment="1">
      <alignment horizontal="center"/>
    </xf>
    <xf numFmtId="0" fontId="37" fillId="7" borderId="1" xfId="0" applyFont="1" applyFill="1" applyBorder="1" applyAlignment="1">
      <alignment horizontal="left" vertical="center"/>
    </xf>
    <xf numFmtId="0" fontId="5" fillId="7" borderId="2" xfId="0" applyFont="1" applyFill="1" applyBorder="1" applyAlignment="1">
      <alignment horizontal="center"/>
    </xf>
    <xf numFmtId="2" fontId="5" fillId="7" borderId="2" xfId="0" applyNumberFormat="1" applyFont="1" applyFill="1" applyBorder="1" applyAlignment="1">
      <alignment horizontal="center"/>
    </xf>
    <xf numFmtId="0" fontId="5" fillId="0" borderId="8" xfId="34" applyFont="1" applyBorder="1" applyAlignment="1">
      <alignment horizontal="left" vertical="center" wrapText="1"/>
    </xf>
    <xf numFmtId="0" fontId="37" fillId="7" borderId="2" xfId="0" applyFont="1" applyFill="1" applyBorder="1" applyAlignment="1">
      <alignment horizontal="center"/>
    </xf>
    <xf numFmtId="2" fontId="37" fillId="7" borderId="2" xfId="0" applyNumberFormat="1" applyFont="1" applyFill="1" applyBorder="1" applyAlignment="1">
      <alignment horizontal="center"/>
    </xf>
    <xf numFmtId="0" fontId="5" fillId="0" borderId="0" xfId="0" applyFont="1" applyAlignment="1">
      <alignment vertical="top"/>
    </xf>
    <xf numFmtId="0" fontId="5" fillId="0" borderId="0" xfId="0" applyFont="1" applyAlignment="1">
      <alignment horizontal="center"/>
    </xf>
    <xf numFmtId="2" fontId="5" fillId="0" borderId="0" xfId="0" applyNumberFormat="1" applyFont="1" applyAlignment="1">
      <alignment horizontal="center"/>
    </xf>
    <xf numFmtId="44" fontId="37" fillId="2" borderId="24" xfId="0" applyNumberFormat="1" applyFont="1" applyFill="1" applyBorder="1" applyAlignment="1">
      <alignment horizontal="right" vertical="center"/>
    </xf>
    <xf numFmtId="44" fontId="5" fillId="8" borderId="2" xfId="0" applyNumberFormat="1" applyFont="1" applyFill="1" applyBorder="1" applyAlignment="1">
      <alignment horizontal="right"/>
    </xf>
    <xf numFmtId="44" fontId="5" fillId="8" borderId="7" xfId="0" applyNumberFormat="1" applyFont="1" applyFill="1" applyBorder="1" applyAlignment="1">
      <alignment horizontal="right"/>
    </xf>
    <xf numFmtId="44" fontId="5" fillId="0" borderId="28" xfId="1" applyNumberFormat="1" applyFont="1" applyBorder="1" applyAlignment="1">
      <alignment horizontal="right"/>
    </xf>
    <xf numFmtId="44" fontId="37" fillId="3" borderId="23" xfId="1" applyNumberFormat="1" applyFont="1" applyFill="1" applyBorder="1" applyAlignment="1">
      <alignment horizontal="right"/>
    </xf>
    <xf numFmtId="44" fontId="37" fillId="4" borderId="29" xfId="1" applyNumberFormat="1" applyFont="1" applyFill="1" applyBorder="1" applyAlignment="1">
      <alignment horizontal="right"/>
    </xf>
    <xf numFmtId="44" fontId="37" fillId="4" borderId="29" xfId="0" applyNumberFormat="1" applyFont="1" applyFill="1" applyBorder="1" applyAlignment="1">
      <alignment horizontal="right"/>
    </xf>
    <xf numFmtId="44" fontId="5" fillId="6" borderId="2" xfId="1" applyNumberFormat="1" applyFont="1" applyFill="1" applyBorder="1" applyAlignment="1">
      <alignment horizontal="right"/>
    </xf>
    <xf numFmtId="44" fontId="5" fillId="6" borderId="7" xfId="1" applyNumberFormat="1" applyFont="1" applyFill="1" applyBorder="1" applyAlignment="1">
      <alignment horizontal="right"/>
    </xf>
    <xf numFmtId="44" fontId="5" fillId="0" borderId="12" xfId="1" applyNumberFormat="1" applyFont="1" applyBorder="1" applyAlignment="1">
      <alignment horizontal="right"/>
    </xf>
    <xf numFmtId="44" fontId="5" fillId="0" borderId="35" xfId="1" applyNumberFormat="1" applyFont="1" applyBorder="1" applyAlignment="1">
      <alignment horizontal="right"/>
    </xf>
    <xf numFmtId="44" fontId="37" fillId="6" borderId="2" xfId="1" applyNumberFormat="1" applyFont="1" applyFill="1" applyBorder="1" applyAlignment="1">
      <alignment horizontal="right"/>
    </xf>
    <xf numFmtId="44" fontId="37" fillId="4" borderId="0" xfId="1" applyNumberFormat="1" applyFont="1" applyFill="1" applyBorder="1" applyAlignment="1">
      <alignment horizontal="right"/>
    </xf>
    <xf numFmtId="44" fontId="5" fillId="5" borderId="2" xfId="0" applyNumberFormat="1" applyFont="1" applyFill="1" applyBorder="1" applyAlignment="1">
      <alignment horizontal="right"/>
    </xf>
    <xf numFmtId="44" fontId="37" fillId="5" borderId="7" xfId="0" applyNumberFormat="1" applyFont="1" applyFill="1" applyBorder="1" applyAlignment="1">
      <alignment horizontal="right"/>
    </xf>
    <xf numFmtId="44" fontId="37" fillId="5" borderId="2" xfId="1" applyNumberFormat="1" applyFont="1" applyFill="1" applyBorder="1" applyAlignment="1">
      <alignment horizontal="right"/>
    </xf>
    <xf numFmtId="44" fontId="5" fillId="7" borderId="2" xfId="1" applyNumberFormat="1" applyFont="1" applyFill="1" applyBorder="1" applyAlignment="1">
      <alignment horizontal="right"/>
    </xf>
    <xf numFmtId="44" fontId="5" fillId="7" borderId="7" xfId="1" applyNumberFormat="1" applyFont="1" applyFill="1" applyBorder="1" applyAlignment="1">
      <alignment horizontal="right"/>
    </xf>
    <xf numFmtId="44" fontId="37" fillId="7" borderId="2" xfId="1" applyNumberFormat="1" applyFont="1" applyFill="1" applyBorder="1" applyAlignment="1">
      <alignment horizontal="right"/>
    </xf>
    <xf numFmtId="44" fontId="5" fillId="0" borderId="0" xfId="0" applyNumberFormat="1" applyFont="1" applyAlignment="1">
      <alignment horizontal="right"/>
    </xf>
    <xf numFmtId="2" fontId="5" fillId="0" borderId="8" xfId="34" applyNumberFormat="1" applyFont="1" applyBorder="1" applyAlignment="1">
      <alignment horizontal="center"/>
    </xf>
    <xf numFmtId="49" fontId="37" fillId="2" borderId="22" xfId="0" applyNumberFormat="1" applyFont="1" applyFill="1" applyBorder="1" applyAlignment="1">
      <alignment horizontal="center" vertical="center" wrapText="1"/>
    </xf>
    <xf numFmtId="49" fontId="5" fillId="0" borderId="30"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6" xfId="0" applyNumberFormat="1" applyFont="1" applyBorder="1" applyAlignment="1">
      <alignment horizontal="center" vertical="top"/>
    </xf>
    <xf numFmtId="49" fontId="37" fillId="4" borderId="29" xfId="0" applyNumberFormat="1" applyFont="1" applyFill="1" applyBorder="1" applyAlignment="1">
      <alignment horizontal="center" vertical="top"/>
    </xf>
    <xf numFmtId="49" fontId="5" fillId="0" borderId="33" xfId="0" applyNumberFormat="1" applyFont="1" applyBorder="1" applyAlignment="1">
      <alignment horizontal="center" vertical="top"/>
    </xf>
    <xf numFmtId="49" fontId="5" fillId="0" borderId="34" xfId="0" applyNumberFormat="1" applyFont="1" applyBorder="1" applyAlignment="1">
      <alignment horizontal="center" vertical="top"/>
    </xf>
    <xf numFmtId="49" fontId="5" fillId="0" borderId="26" xfId="24" applyNumberFormat="1" applyFont="1" applyBorder="1" applyAlignment="1">
      <alignment horizontal="center" vertical="top"/>
    </xf>
    <xf numFmtId="49" fontId="5" fillId="0" borderId="36" xfId="0" applyNumberFormat="1" applyFont="1" applyBorder="1" applyAlignment="1">
      <alignment horizontal="center" vertical="top"/>
    </xf>
    <xf numFmtId="49" fontId="5" fillId="0" borderId="0" xfId="0" applyNumberFormat="1" applyFont="1" applyAlignment="1">
      <alignment horizontal="center" vertical="top"/>
    </xf>
    <xf numFmtId="44" fontId="6" fillId="31"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0" xfId="0" applyFont="1" applyFill="1" applyBorder="1" applyAlignment="1">
      <alignment horizontal="center"/>
    </xf>
    <xf numFmtId="2" fontId="41" fillId="31" borderId="10" xfId="0" applyNumberFormat="1" applyFont="1" applyFill="1" applyBorder="1" applyAlignment="1">
      <alignment horizontal="center"/>
    </xf>
    <xf numFmtId="0" fontId="41" fillId="31" borderId="10" xfId="0" applyFont="1" applyFill="1" applyBorder="1"/>
    <xf numFmtId="44" fontId="41" fillId="0" borderId="0" xfId="0" applyNumberFormat="1" applyFont="1"/>
    <xf numFmtId="49" fontId="37" fillId="3" borderId="22" xfId="0" applyNumberFormat="1" applyFont="1" applyFill="1" applyBorder="1" applyAlignment="1">
      <alignment horizontal="center" vertical="center"/>
    </xf>
    <xf numFmtId="44" fontId="37" fillId="3" borderId="24" xfId="0" applyNumberFormat="1" applyFont="1" applyFill="1" applyBorder="1" applyAlignment="1">
      <alignment horizontal="right"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37" xfId="0" applyFont="1" applyFill="1" applyBorder="1" applyAlignment="1">
      <alignment horizontal="left" vertical="center"/>
    </xf>
    <xf numFmtId="44" fontId="37" fillId="7" borderId="7" xfId="1" applyNumberFormat="1" applyFont="1" applyFill="1" applyBorder="1" applyAlignment="1">
      <alignment horizontal="right" vertical="center"/>
    </xf>
    <xf numFmtId="49" fontId="37" fillId="5" borderId="1" xfId="0" applyNumberFormat="1" applyFont="1" applyFill="1" applyBorder="1" applyAlignment="1">
      <alignment horizontal="center" vertical="center"/>
    </xf>
    <xf numFmtId="44" fontId="37" fillId="5" borderId="7" xfId="1" applyNumberFormat="1" applyFont="1" applyFill="1" applyBorder="1" applyAlignment="1">
      <alignment horizontal="right" vertical="center"/>
    </xf>
    <xf numFmtId="0" fontId="37" fillId="5" borderId="37"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37" xfId="0" applyFont="1" applyFill="1" applyBorder="1" applyAlignment="1">
      <alignment horizontal="left" vertical="center"/>
    </xf>
    <xf numFmtId="44" fontId="37" fillId="6" borderId="7" xfId="1" applyNumberFormat="1" applyFont="1" applyFill="1" applyBorder="1" applyAlignment="1">
      <alignment horizontal="right" vertical="center"/>
    </xf>
    <xf numFmtId="49" fontId="5" fillId="0" borderId="38" xfId="0" applyNumberFormat="1" applyFont="1" applyBorder="1" applyAlignment="1">
      <alignment horizontal="center" vertical="top"/>
    </xf>
    <xf numFmtId="49" fontId="5" fillId="0" borderId="38" xfId="24" applyNumberFormat="1" applyFont="1" applyBorder="1" applyAlignment="1">
      <alignment horizontal="center" vertical="top"/>
    </xf>
    <xf numFmtId="44" fontId="5" fillId="4" borderId="40" xfId="1" applyNumberFormat="1" applyFont="1" applyFill="1" applyBorder="1" applyAlignment="1">
      <alignment horizontal="right"/>
    </xf>
    <xf numFmtId="49" fontId="5" fillId="0" borderId="31" xfId="24" applyNumberFormat="1" applyFont="1" applyBorder="1" applyAlignment="1">
      <alignment horizontal="center" vertical="top"/>
    </xf>
    <xf numFmtId="44" fontId="5" fillId="4" borderId="35" xfId="1" applyNumberFormat="1" applyFont="1" applyFill="1" applyBorder="1" applyAlignment="1">
      <alignment horizontal="right"/>
    </xf>
    <xf numFmtId="49" fontId="5" fillId="0" borderId="41" xfId="24" applyNumberFormat="1" applyFont="1" applyBorder="1" applyAlignment="1">
      <alignment horizontal="center" vertical="top"/>
    </xf>
    <xf numFmtId="44" fontId="5" fillId="4" borderId="41" xfId="1" applyNumberFormat="1" applyFont="1" applyFill="1" applyBorder="1" applyAlignment="1">
      <alignment horizontal="right"/>
    </xf>
    <xf numFmtId="0" fontId="4" fillId="0" borderId="8" xfId="0" applyFont="1" applyBorder="1" applyAlignment="1">
      <alignment vertical="center" wrapText="1"/>
    </xf>
    <xf numFmtId="0" fontId="0" fillId="0" borderId="8" xfId="0" applyBorder="1" applyAlignment="1">
      <alignment horizontal="center" vertical="top"/>
    </xf>
    <xf numFmtId="0" fontId="0" fillId="0" borderId="8" xfId="0" applyBorder="1" applyAlignment="1">
      <alignment horizontal="center"/>
    </xf>
    <xf numFmtId="2" fontId="0" fillId="0" borderId="8" xfId="0" applyNumberFormat="1" applyBorder="1" applyAlignment="1">
      <alignment horizontal="center"/>
    </xf>
    <xf numFmtId="44" fontId="0" fillId="0" borderId="8" xfId="221" applyNumberFormat="1" applyFont="1" applyBorder="1"/>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2" fontId="0" fillId="0" borderId="6" xfId="0" applyNumberFormat="1" applyBorder="1" applyAlignment="1">
      <alignment horizontal="center"/>
    </xf>
    <xf numFmtId="44" fontId="4" fillId="4" borderId="12" xfId="1" applyNumberFormat="1" applyFont="1" applyFill="1" applyBorder="1" applyAlignment="1">
      <alignment horizontal="right"/>
    </xf>
    <xf numFmtId="0" fontId="5" fillId="0" borderId="39" xfId="0" applyFont="1" applyBorder="1" applyAlignment="1">
      <alignment vertical="center" wrapText="1"/>
    </xf>
    <xf numFmtId="44" fontId="5" fillId="0" borderId="39" xfId="1" applyNumberFormat="1" applyFont="1" applyFill="1" applyBorder="1" applyAlignment="1">
      <alignment horizontal="right"/>
    </xf>
    <xf numFmtId="44" fontId="5" fillId="0" borderId="40" xfId="17" applyNumberFormat="1" applyFont="1" applyFill="1" applyBorder="1" applyAlignment="1">
      <alignment horizontal="right"/>
    </xf>
    <xf numFmtId="44" fontId="5" fillId="0" borderId="35" xfId="17" applyNumberFormat="1" applyFont="1" applyFill="1" applyBorder="1" applyAlignment="1">
      <alignment horizontal="right"/>
    </xf>
    <xf numFmtId="44" fontId="5" fillId="0" borderId="43" xfId="17" applyNumberFormat="1" applyFont="1" applyFill="1" applyBorder="1" applyAlignment="1">
      <alignment horizontal="right"/>
    </xf>
    <xf numFmtId="0" fontId="36" fillId="0" borderId="0" xfId="0" applyFont="1" applyAlignment="1">
      <alignment vertical="top"/>
    </xf>
    <xf numFmtId="44" fontId="37" fillId="2" borderId="23"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5" fillId="33" borderId="2" xfId="0" applyFont="1" applyFill="1" applyBorder="1" applyAlignment="1">
      <alignment horizontal="center"/>
    </xf>
    <xf numFmtId="2" fontId="5" fillId="33" borderId="2" xfId="0" applyNumberFormat="1" applyFont="1" applyFill="1" applyBorder="1" applyAlignment="1">
      <alignment horizontal="center"/>
    </xf>
    <xf numFmtId="44" fontId="5" fillId="33" borderId="2" xfId="0" applyNumberFormat="1" applyFont="1" applyFill="1" applyBorder="1" applyAlignment="1">
      <alignment horizontal="right"/>
    </xf>
    <xf numFmtId="44" fontId="5" fillId="33" borderId="7" xfId="0" applyNumberFormat="1" applyFont="1" applyFill="1" applyBorder="1" applyAlignment="1">
      <alignment horizontal="right"/>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0" fontId="5" fillId="34" borderId="2" xfId="0" applyFont="1" applyFill="1" applyBorder="1" applyAlignment="1">
      <alignment horizontal="center"/>
    </xf>
    <xf numFmtId="2" fontId="5" fillId="34" borderId="2" xfId="0" applyNumberFormat="1" applyFont="1" applyFill="1" applyBorder="1" applyAlignment="1">
      <alignment horizontal="center"/>
    </xf>
    <xf numFmtId="44" fontId="5" fillId="34" borderId="2" xfId="1" applyNumberFormat="1" applyFont="1" applyFill="1" applyBorder="1" applyAlignment="1">
      <alignment horizontal="right"/>
    </xf>
    <xf numFmtId="44" fontId="5" fillId="34" borderId="7" xfId="1" applyNumberFormat="1" applyFont="1" applyFill="1" applyBorder="1" applyAlignment="1">
      <alignment horizontal="right"/>
    </xf>
    <xf numFmtId="49" fontId="37" fillId="34" borderId="1" xfId="0" applyNumberFormat="1" applyFont="1" applyFill="1" applyBorder="1" applyAlignment="1">
      <alignment horizontal="center" vertical="center"/>
    </xf>
    <xf numFmtId="0" fontId="37" fillId="34" borderId="37" xfId="0" applyFont="1" applyFill="1" applyBorder="1" applyAlignment="1">
      <alignment horizontal="left" vertical="center"/>
    </xf>
    <xf numFmtId="0" fontId="37" fillId="34" borderId="2" xfId="0" applyFont="1" applyFill="1" applyBorder="1" applyAlignment="1">
      <alignment horizontal="center"/>
    </xf>
    <xf numFmtId="2" fontId="37" fillId="34" borderId="2" xfId="0" applyNumberFormat="1" applyFont="1" applyFill="1" applyBorder="1" applyAlignment="1">
      <alignment horizontal="center"/>
    </xf>
    <xf numFmtId="44" fontId="37" fillId="34" borderId="2" xfId="1" applyNumberFormat="1" applyFont="1" applyFill="1" applyBorder="1" applyAlignment="1">
      <alignment horizontal="right"/>
    </xf>
    <xf numFmtId="44" fontId="37" fillId="34" borderId="7" xfId="1" applyNumberFormat="1" applyFont="1" applyFill="1" applyBorder="1" applyAlignment="1">
      <alignment horizontal="right" vertical="center"/>
    </xf>
    <xf numFmtId="49" fontId="37" fillId="35" borderId="1" xfId="0" applyNumberFormat="1" applyFont="1" applyFill="1" applyBorder="1" applyAlignment="1">
      <alignment horizontal="center" vertical="center"/>
    </xf>
    <xf numFmtId="0" fontId="37" fillId="35" borderId="37" xfId="0" applyFont="1" applyFill="1" applyBorder="1" applyAlignment="1">
      <alignment horizontal="left" vertical="center"/>
    </xf>
    <xf numFmtId="0" fontId="37" fillId="35" borderId="2" xfId="0" applyFont="1" applyFill="1" applyBorder="1" applyAlignment="1">
      <alignment horizontal="center"/>
    </xf>
    <xf numFmtId="2" fontId="37" fillId="35" borderId="2" xfId="0" applyNumberFormat="1" applyFont="1" applyFill="1" applyBorder="1" applyAlignment="1">
      <alignment horizontal="center"/>
    </xf>
    <xf numFmtId="44" fontId="37" fillId="35" borderId="2" xfId="1" applyNumberFormat="1" applyFont="1" applyFill="1" applyBorder="1" applyAlignment="1">
      <alignment horizontal="right"/>
    </xf>
    <xf numFmtId="44" fontId="37" fillId="35" borderId="7" xfId="1" applyNumberFormat="1" applyFont="1" applyFill="1" applyBorder="1" applyAlignment="1">
      <alignment horizontal="righ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5" fillId="4" borderId="8" xfId="0" applyFont="1" applyFill="1" applyBorder="1" applyAlignment="1">
      <alignment horizontal="left" vertical="top" wrapText="1"/>
    </xf>
    <xf numFmtId="0" fontId="44" fillId="0" borderId="0" xfId="0" applyFont="1" applyAlignment="1">
      <alignment vertical="top"/>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applyAlignment="1">
      <alignment horizontal="right"/>
    </xf>
    <xf numFmtId="0" fontId="43" fillId="0" borderId="0" xfId="0" applyFont="1"/>
    <xf numFmtId="0" fontId="36" fillId="0" borderId="0" xfId="0" applyFont="1" applyBorder="1"/>
    <xf numFmtId="0" fontId="5" fillId="4" borderId="8" xfId="0" applyFont="1" applyFill="1" applyBorder="1" applyAlignment="1">
      <alignment vertical="top" wrapText="1"/>
    </xf>
    <xf numFmtId="0" fontId="36" fillId="0" borderId="10" xfId="0" applyFont="1" applyBorder="1" applyAlignment="1">
      <alignment horizontal="center" vertical="top"/>
    </xf>
    <xf numFmtId="0" fontId="7" fillId="0" borderId="10" xfId="0" applyFont="1" applyBorder="1"/>
    <xf numFmtId="0" fontId="36" fillId="0" borderId="10" xfId="0" applyFont="1" applyBorder="1" applyAlignment="1">
      <alignment horizontal="center"/>
    </xf>
    <xf numFmtId="2" fontId="36" fillId="0" borderId="10" xfId="0" applyNumberFormat="1" applyFont="1" applyBorder="1" applyAlignment="1">
      <alignment horizontal="center"/>
    </xf>
    <xf numFmtId="0" fontId="36" fillId="0" borderId="10" xfId="0" applyFont="1" applyBorder="1"/>
    <xf numFmtId="44" fontId="7" fillId="0" borderId="10" xfId="0" applyNumberFormat="1" applyFont="1" applyBorder="1"/>
    <xf numFmtId="0" fontId="45" fillId="0" borderId="0" xfId="0" applyFont="1"/>
    <xf numFmtId="0" fontId="4" fillId="0" borderId="8" xfId="0" applyFont="1" applyBorder="1" applyAlignment="1">
      <alignment vertical="top" wrapText="1"/>
    </xf>
    <xf numFmtId="49" fontId="44" fillId="0" borderId="0" xfId="0" applyNumberFormat="1" applyFont="1" applyAlignment="1">
      <alignment horizontal="center" vertical="top"/>
    </xf>
    <xf numFmtId="0" fontId="5" fillId="0" borderId="31" xfId="0" applyFont="1" applyBorder="1" applyAlignment="1">
      <alignment horizontal="center" vertical="top"/>
    </xf>
    <xf numFmtId="44" fontId="0" fillId="0" borderId="8" xfId="221" applyFont="1" applyBorder="1"/>
    <xf numFmtId="0" fontId="5" fillId="0" borderId="39" xfId="0" applyFont="1" applyBorder="1" applyAlignment="1">
      <alignment horizontal="center"/>
    </xf>
    <xf numFmtId="2" fontId="5" fillId="0" borderId="39" xfId="0" applyNumberFormat="1" applyFont="1" applyBorder="1" applyAlignment="1">
      <alignment horizontal="center"/>
    </xf>
    <xf numFmtId="0" fontId="5" fillId="0" borderId="12" xfId="0" applyFont="1" applyBorder="1" applyAlignment="1">
      <alignment horizontal="left" vertical="center" wrapText="1"/>
    </xf>
    <xf numFmtId="49" fontId="5" fillId="0" borderId="42" xfId="0" applyNumberFormat="1" applyFont="1" applyBorder="1" applyAlignment="1">
      <alignment horizontal="center" vertical="top"/>
    </xf>
    <xf numFmtId="0" fontId="5" fillId="0" borderId="41" xfId="0" applyFont="1" applyBorder="1" applyAlignment="1">
      <alignment horizontal="left" vertical="center" wrapText="1"/>
    </xf>
    <xf numFmtId="0" fontId="5" fillId="0" borderId="41" xfId="0" applyFont="1" applyBorder="1" applyAlignment="1">
      <alignment horizontal="center"/>
    </xf>
    <xf numFmtId="2" fontId="5" fillId="0" borderId="41" xfId="0" applyNumberFormat="1" applyFont="1" applyBorder="1" applyAlignment="1">
      <alignment horizontal="center"/>
    </xf>
    <xf numFmtId="0" fontId="37" fillId="4" borderId="0" xfId="0" applyFont="1" applyFill="1" applyAlignment="1">
      <alignment horizontal="left" vertical="center"/>
    </xf>
    <xf numFmtId="0" fontId="37" fillId="4" borderId="0" xfId="0" applyFont="1" applyFill="1" applyAlignment="1">
      <alignment horizontal="center"/>
    </xf>
    <xf numFmtId="2" fontId="37" fillId="4" borderId="0" xfId="0" applyNumberFormat="1" applyFont="1" applyFill="1" applyAlignment="1">
      <alignment horizontal="center"/>
    </xf>
    <xf numFmtId="44" fontId="5" fillId="0" borderId="8" xfId="0" applyNumberFormat="1" applyFont="1" applyBorder="1" applyAlignment="1">
      <alignment horizontal="right"/>
    </xf>
    <xf numFmtId="0" fontId="5" fillId="0" borderId="41" xfId="0" applyFont="1" applyBorder="1" applyAlignment="1">
      <alignment horizontal="left" vertical="center"/>
    </xf>
    <xf numFmtId="0" fontId="5" fillId="0" borderId="39" xfId="0" applyFont="1" applyBorder="1" applyAlignment="1">
      <alignment horizontal="left" vertical="top" wrapText="1"/>
    </xf>
    <xf numFmtId="44" fontId="5" fillId="0" borderId="39" xfId="0" applyNumberFormat="1" applyFont="1" applyBorder="1" applyAlignment="1">
      <alignment horizontal="right"/>
    </xf>
    <xf numFmtId="0" fontId="5" fillId="0" borderId="12" xfId="0" applyFont="1" applyBorder="1" applyAlignment="1">
      <alignment horizontal="left" vertical="center"/>
    </xf>
    <xf numFmtId="0" fontId="5" fillId="0" borderId="8" xfId="0" applyFont="1" applyBorder="1" applyAlignment="1">
      <alignment horizontal="left" vertical="top" wrapText="1" shrinkToFit="1"/>
    </xf>
    <xf numFmtId="0" fontId="5" fillId="0" borderId="8" xfId="0" applyFont="1" applyBorder="1" applyAlignment="1">
      <alignment vertical="top" wrapText="1"/>
    </xf>
    <xf numFmtId="44" fontId="5" fillId="0" borderId="27" xfId="1" applyNumberFormat="1" applyFont="1" applyFill="1" applyBorder="1" applyAlignment="1">
      <alignment horizontal="right"/>
    </xf>
    <xf numFmtId="0" fontId="5" fillId="0" borderId="8" xfId="0" applyFont="1" applyBorder="1" applyAlignment="1">
      <alignment vertical="center" wrapText="1"/>
    </xf>
    <xf numFmtId="0" fontId="0" fillId="0" borderId="0" xfId="0" applyAlignment="1">
      <alignment horizontal="center"/>
    </xf>
    <xf numFmtId="49" fontId="5" fillId="0" borderId="44" xfId="24" applyNumberFormat="1" applyFont="1" applyBorder="1" applyAlignment="1">
      <alignment horizontal="center" vertical="top"/>
    </xf>
    <xf numFmtId="0" fontId="5" fillId="0" borderId="45" xfId="0" applyFont="1" applyBorder="1" applyAlignment="1">
      <alignment horizontal="left" vertical="center"/>
    </xf>
    <xf numFmtId="0" fontId="5" fillId="0" borderId="45" xfId="0" applyFont="1" applyBorder="1" applyAlignment="1">
      <alignment horizontal="center"/>
    </xf>
    <xf numFmtId="2" fontId="5" fillId="0" borderId="45" xfId="0" applyNumberFormat="1" applyFont="1" applyBorder="1" applyAlignment="1">
      <alignment horizontal="center"/>
    </xf>
    <xf numFmtId="44" fontId="5" fillId="0" borderId="45" xfId="0" applyNumberFormat="1" applyFont="1" applyBorder="1" applyAlignment="1">
      <alignment horizontal="right"/>
    </xf>
    <xf numFmtId="2" fontId="5" fillId="0" borderId="8" xfId="0" applyNumberFormat="1" applyFont="1" applyFill="1" applyBorder="1" applyAlignment="1">
      <alignment horizontal="center"/>
    </xf>
    <xf numFmtId="49" fontId="5" fillId="0" borderId="26" xfId="24" applyNumberFormat="1" applyFont="1" applyFill="1" applyBorder="1" applyAlignment="1">
      <alignment horizontal="center" vertical="top"/>
    </xf>
    <xf numFmtId="0" fontId="5" fillId="0" borderId="8" xfId="0" applyFont="1" applyFill="1" applyBorder="1" applyAlignment="1">
      <alignment horizontal="left" vertical="top" wrapText="1"/>
    </xf>
    <xf numFmtId="0" fontId="5" fillId="0" borderId="8" xfId="0" applyFont="1" applyFill="1" applyBorder="1" applyAlignment="1">
      <alignment horizontal="center"/>
    </xf>
    <xf numFmtId="44" fontId="5" fillId="0" borderId="8" xfId="0" applyNumberFormat="1" applyFont="1" applyFill="1" applyBorder="1" applyAlignment="1">
      <alignment horizontal="right"/>
    </xf>
    <xf numFmtId="49" fontId="5" fillId="0" borderId="31" xfId="24" applyNumberFormat="1" applyFont="1" applyFill="1" applyBorder="1" applyAlignment="1">
      <alignment horizontal="center" vertical="top"/>
    </xf>
    <xf numFmtId="0" fontId="5" fillId="0" borderId="12" xfId="0" applyFont="1" applyFill="1" applyBorder="1" applyAlignment="1">
      <alignment horizontal="left" vertical="center"/>
    </xf>
    <xf numFmtId="0" fontId="5" fillId="0" borderId="12" xfId="0" applyFont="1" applyFill="1" applyBorder="1" applyAlignment="1">
      <alignment horizontal="center"/>
    </xf>
    <xf numFmtId="2" fontId="5" fillId="0" borderId="12" xfId="0" applyNumberFormat="1" applyFont="1" applyFill="1" applyBorder="1" applyAlignment="1">
      <alignment horizontal="center"/>
    </xf>
    <xf numFmtId="44" fontId="5" fillId="0" borderId="35" xfId="1" applyNumberFormat="1" applyFont="1" applyFill="1" applyBorder="1" applyAlignment="1">
      <alignment horizontal="right"/>
    </xf>
    <xf numFmtId="0" fontId="5" fillId="0" borderId="12"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8"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0" borderId="8" xfId="24" applyFont="1" applyFill="1" applyBorder="1" applyAlignment="1">
      <alignment horizontal="left" vertical="top" wrapText="1"/>
    </xf>
    <xf numFmtId="0" fontId="46" fillId="0" borderId="8" xfId="0" applyFont="1" applyBorder="1" applyAlignment="1">
      <alignment horizontal="left"/>
    </xf>
    <xf numFmtId="0" fontId="46" fillId="0" borderId="8" xfId="0" applyFont="1" applyBorder="1" applyAlignment="1">
      <alignment horizontal="center" vertical="center"/>
    </xf>
    <xf numFmtId="39" fontId="46" fillId="0" borderId="6" xfId="0" applyNumberFormat="1" applyFont="1" applyBorder="1" applyAlignment="1">
      <alignment horizontal="right" vertical="center"/>
    </xf>
    <xf numFmtId="171" fontId="46" fillId="0" borderId="0" xfId="0" applyNumberFormat="1" applyFont="1" applyAlignment="1">
      <alignment horizontal="left"/>
    </xf>
    <xf numFmtId="0" fontId="46" fillId="0" borderId="0" xfId="0" applyFont="1" applyAlignment="1">
      <alignment horizontal="left" vertical="center"/>
    </xf>
    <xf numFmtId="172" fontId="46" fillId="0" borderId="0" xfId="0" applyNumberFormat="1" applyFont="1" applyAlignment="1">
      <alignment vertical="center"/>
    </xf>
    <xf numFmtId="0" fontId="46" fillId="0" borderId="0" xfId="0" applyFont="1" applyAlignment="1">
      <alignment vertical="center"/>
    </xf>
    <xf numFmtId="0" fontId="46" fillId="0" borderId="0" xfId="0" applyFont="1" applyAlignment="1">
      <alignment horizontal="right" vertical="center"/>
    </xf>
    <xf numFmtId="171" fontId="47" fillId="36" borderId="0" xfId="0" applyNumberFormat="1" applyFont="1" applyFill="1" applyAlignment="1">
      <alignment horizontal="left"/>
    </xf>
    <xf numFmtId="0" fontId="46" fillId="36" borderId="0" xfId="0" applyFont="1" applyFill="1" applyAlignment="1">
      <alignment vertical="center"/>
    </xf>
    <xf numFmtId="172" fontId="46" fillId="36" borderId="0" xfId="0" applyNumberFormat="1" applyFont="1" applyFill="1" applyAlignment="1">
      <alignment vertical="center"/>
    </xf>
    <xf numFmtId="0" fontId="46" fillId="36" borderId="0" xfId="0" applyFont="1" applyFill="1" applyAlignment="1">
      <alignment horizontal="right" vertical="center"/>
    </xf>
    <xf numFmtId="0" fontId="46" fillId="0" borderId="0" xfId="0" applyFont="1" applyAlignment="1">
      <alignment horizontal="left"/>
    </xf>
    <xf numFmtId="0" fontId="49" fillId="0" borderId="0" xfId="0" applyFont="1" applyAlignment="1">
      <alignment horizontal="left" vertical="center"/>
    </xf>
    <xf numFmtId="0" fontId="47" fillId="0" borderId="0" xfId="0" applyFont="1" applyAlignment="1">
      <alignment horizontal="left" vertical="center"/>
    </xf>
    <xf numFmtId="0" fontId="46" fillId="0" borderId="0" xfId="0" quotePrefix="1" applyFont="1" applyAlignment="1">
      <alignment horizontal="left" vertical="center"/>
    </xf>
    <xf numFmtId="0" fontId="50" fillId="0" borderId="0" xfId="0" applyFont="1" applyAlignment="1">
      <alignment horizontal="left" vertical="center"/>
    </xf>
    <xf numFmtId="171" fontId="46" fillId="0" borderId="0" xfId="0" applyNumberFormat="1" applyFont="1" applyAlignment="1">
      <alignment horizontal="left" vertical="top"/>
    </xf>
    <xf numFmtId="0" fontId="46" fillId="0" borderId="0" xfId="0" applyFont="1" applyAlignment="1">
      <alignment horizontal="left" vertical="center" wrapText="1"/>
    </xf>
    <xf numFmtId="0" fontId="48" fillId="0" borderId="0" xfId="0" applyFont="1" applyAlignment="1">
      <alignment horizontal="left" vertical="center"/>
    </xf>
    <xf numFmtId="172" fontId="46" fillId="0" borderId="0" xfId="0" applyNumberFormat="1" applyFont="1"/>
    <xf numFmtId="0" fontId="46" fillId="0" borderId="0" xfId="0" applyFont="1" applyAlignment="1">
      <alignment horizontal="left" vertical="top" wrapText="1"/>
    </xf>
    <xf numFmtId="171" fontId="52" fillId="0" borderId="0" xfId="0" applyNumberFormat="1" applyFont="1" applyAlignment="1">
      <alignment horizontal="left"/>
    </xf>
    <xf numFmtId="0" fontId="52" fillId="0" borderId="0" xfId="0" applyFont="1" applyAlignment="1">
      <alignment horizontal="left" vertical="center"/>
    </xf>
    <xf numFmtId="172" fontId="52" fillId="0" borderId="0" xfId="0" applyNumberFormat="1" applyFont="1" applyAlignment="1">
      <alignment vertical="center"/>
    </xf>
    <xf numFmtId="0" fontId="46" fillId="0" borderId="0" xfId="0" applyFont="1" applyAlignment="1">
      <alignment horizontal="justify" vertical="top" wrapText="1"/>
    </xf>
    <xf numFmtId="0" fontId="53" fillId="0" borderId="0" xfId="0" applyFont="1" applyAlignment="1">
      <alignment horizontal="justify" wrapText="1"/>
    </xf>
    <xf numFmtId="0" fontId="53" fillId="0" borderId="0" xfId="0" applyFont="1" applyAlignment="1">
      <alignment horizontal="justify" vertical="top" wrapText="1"/>
    </xf>
    <xf numFmtId="0" fontId="54" fillId="0" borderId="0" xfId="0" applyFont="1" applyAlignment="1">
      <alignment horizontal="left" vertical="center"/>
    </xf>
    <xf numFmtId="172" fontId="54" fillId="0" borderId="0" xfId="0" applyNumberFormat="1" applyFont="1" applyAlignment="1">
      <alignment vertical="center"/>
    </xf>
    <xf numFmtId="39" fontId="54" fillId="0" borderId="0" xfId="0" applyNumberFormat="1" applyFont="1" applyAlignment="1">
      <alignment vertical="center"/>
    </xf>
    <xf numFmtId="39" fontId="54" fillId="0" borderId="0" xfId="0" applyNumberFormat="1" applyFont="1" applyAlignment="1">
      <alignment horizontal="right" vertical="center"/>
    </xf>
    <xf numFmtId="171" fontId="54" fillId="0" borderId="0" xfId="0" applyNumberFormat="1" applyFont="1" applyAlignment="1">
      <alignment horizontal="left"/>
    </xf>
    <xf numFmtId="0" fontId="47" fillId="6" borderId="0" xfId="0" applyFont="1" applyFill="1" applyAlignment="1">
      <alignment horizontal="left"/>
    </xf>
    <xf numFmtId="0" fontId="47" fillId="6" borderId="46" xfId="0" applyFont="1" applyFill="1" applyBorder="1" applyAlignment="1">
      <alignment horizontal="left" vertical="center"/>
    </xf>
    <xf numFmtId="0" fontId="47" fillId="6" borderId="46" xfId="0" applyFont="1" applyFill="1" applyBorder="1" applyAlignment="1">
      <alignment vertical="center"/>
    </xf>
    <xf numFmtId="165" fontId="47" fillId="6" borderId="46" xfId="21" applyFont="1" applyFill="1" applyBorder="1" applyAlignment="1">
      <alignment horizontal="right" vertical="center"/>
    </xf>
    <xf numFmtId="0" fontId="47" fillId="0" borderId="0" xfId="0" applyFont="1" applyAlignment="1">
      <alignment horizontal="left"/>
    </xf>
    <xf numFmtId="0" fontId="6" fillId="0" borderId="9" xfId="0" applyFont="1" applyBorder="1" applyAlignment="1">
      <alignment horizontal="center"/>
    </xf>
    <xf numFmtId="0" fontId="6" fillId="0" borderId="10" xfId="0" applyFont="1" applyBorder="1"/>
    <xf numFmtId="0" fontId="41" fillId="0" borderId="10" xfId="0" applyFont="1" applyBorder="1" applyAlignment="1">
      <alignment horizontal="center"/>
    </xf>
    <xf numFmtId="2" fontId="41" fillId="0" borderId="10" xfId="0" applyNumberFormat="1" applyFont="1" applyBorder="1" applyAlignment="1">
      <alignment horizontal="center"/>
    </xf>
    <xf numFmtId="0" fontId="41" fillId="0" borderId="10" xfId="0" applyFont="1" applyBorder="1"/>
    <xf numFmtId="44" fontId="6" fillId="0" borderId="11" xfId="0" applyNumberFormat="1" applyFont="1" applyBorder="1"/>
    <xf numFmtId="0" fontId="4" fillId="0" borderId="0" xfId="0" applyFont="1"/>
    <xf numFmtId="171" fontId="47" fillId="6" borderId="0" xfId="0" applyNumberFormat="1" applyFont="1" applyFill="1" applyAlignment="1">
      <alignment horizontal="left"/>
    </xf>
    <xf numFmtId="0" fontId="46" fillId="6" borderId="0" xfId="0" applyFont="1" applyFill="1" applyAlignment="1">
      <alignment vertical="center"/>
    </xf>
    <xf numFmtId="172" fontId="46" fillId="6" borderId="0" xfId="0" applyNumberFormat="1" applyFont="1" applyFill="1" applyAlignment="1">
      <alignment vertical="center"/>
    </xf>
    <xf numFmtId="0" fontId="46" fillId="6" borderId="0" xfId="0" applyFont="1" applyFill="1" applyAlignment="1">
      <alignment horizontal="right" vertical="center"/>
    </xf>
    <xf numFmtId="172" fontId="47" fillId="0" borderId="0" xfId="0" applyNumberFormat="1" applyFont="1" applyAlignment="1">
      <alignment vertical="center"/>
    </xf>
    <xf numFmtId="0" fontId="47" fillId="0" borderId="0" xfId="0" applyFont="1" applyAlignment="1">
      <alignment vertical="center"/>
    </xf>
    <xf numFmtId="0" fontId="47" fillId="0" borderId="0" xfId="0" applyFont="1" applyAlignment="1">
      <alignment horizontal="right" vertical="center"/>
    </xf>
    <xf numFmtId="0" fontId="46" fillId="0" borderId="46" xfId="0" applyFont="1" applyBorder="1" applyAlignment="1">
      <alignment horizontal="left" vertical="center" wrapText="1"/>
    </xf>
    <xf numFmtId="0" fontId="46" fillId="0" borderId="46" xfId="0" applyFont="1" applyBorder="1" applyAlignment="1">
      <alignment horizontal="left"/>
    </xf>
    <xf numFmtId="172" fontId="46" fillId="0" borderId="46" xfId="0" applyNumberFormat="1" applyFont="1" applyBorder="1"/>
    <xf numFmtId="0" fontId="5" fillId="0" borderId="41" xfId="0" applyFont="1" applyBorder="1" applyAlignment="1">
      <alignment horizontal="left" vertical="top"/>
    </xf>
    <xf numFmtId="0" fontId="40" fillId="0" borderId="0" xfId="9" applyFont="1" applyAlignment="1">
      <alignment horizontal="center" vertical="center"/>
    </xf>
    <xf numFmtId="0" fontId="40" fillId="0" borderId="0" xfId="9" applyFont="1" applyAlignment="1">
      <alignment vertical="center" wrapText="1"/>
    </xf>
    <xf numFmtId="0" fontId="4" fillId="0" borderId="0" xfId="9" applyAlignment="1">
      <alignment vertical="center"/>
    </xf>
    <xf numFmtId="0" fontId="5" fillId="0" borderId="0" xfId="9" applyFont="1" applyAlignment="1">
      <alignment vertical="center"/>
    </xf>
    <xf numFmtId="49" fontId="42" fillId="0" borderId="0" xfId="235" applyNumberFormat="1" applyFont="1" applyAlignment="1" applyProtection="1">
      <alignment horizontal="center" vertical="center" wrapText="1"/>
      <protection locked="0"/>
    </xf>
    <xf numFmtId="0" fontId="42" fillId="0" borderId="0" xfId="235" applyFont="1" applyAlignment="1" applyProtection="1">
      <alignment vertical="center" wrapText="1"/>
      <protection locked="0"/>
    </xf>
    <xf numFmtId="0" fontId="4" fillId="0" borderId="0" xfId="235" applyFont="1" applyAlignment="1" applyProtection="1">
      <alignment vertical="center" wrapText="1"/>
      <protection locked="0"/>
    </xf>
    <xf numFmtId="0" fontId="4" fillId="0" borderId="0" xfId="235" applyFont="1" applyAlignment="1">
      <alignment vertical="center" wrapText="1"/>
    </xf>
    <xf numFmtId="173" fontId="5" fillId="0" borderId="0" xfId="9" applyNumberFormat="1" applyFont="1" applyAlignment="1">
      <alignment vertical="center"/>
    </xf>
    <xf numFmtId="0" fontId="42" fillId="0" borderId="0" xfId="235" applyFont="1" applyAlignment="1" applyProtection="1">
      <alignment horizontal="left" vertical="center"/>
      <protection locked="0"/>
    </xf>
    <xf numFmtId="0" fontId="42" fillId="0" borderId="0" xfId="235" applyFont="1" applyAlignment="1" applyProtection="1">
      <alignment horizontal="left" vertical="center" wrapText="1"/>
      <protection locked="0"/>
    </xf>
    <xf numFmtId="0" fontId="4" fillId="0" borderId="0" xfId="9" applyAlignment="1">
      <alignment horizontal="center" vertical="center"/>
    </xf>
    <xf numFmtId="0" fontId="4" fillId="0" borderId="0" xfId="9" applyAlignment="1">
      <alignment vertical="center" wrapText="1"/>
    </xf>
    <xf numFmtId="0" fontId="42" fillId="0" borderId="5" xfId="9" applyFont="1" applyBorder="1" applyAlignment="1">
      <alignment horizontal="center" vertical="center"/>
    </xf>
    <xf numFmtId="0" fontId="42" fillId="0" borderId="5" xfId="9" applyFont="1" applyBorder="1" applyAlignment="1">
      <alignment horizontal="center" vertical="center" wrapText="1"/>
    </xf>
    <xf numFmtId="173" fontId="37" fillId="0" borderId="5" xfId="9" applyNumberFormat="1" applyFont="1" applyBorder="1" applyAlignment="1">
      <alignment horizontal="center" vertical="center"/>
    </xf>
    <xf numFmtId="0" fontId="42" fillId="0" borderId="0" xfId="9" applyFont="1" applyAlignment="1">
      <alignment horizontal="center" vertical="center"/>
    </xf>
    <xf numFmtId="0" fontId="4" fillId="0" borderId="0" xfId="9" applyAlignment="1">
      <alignment horizontal="center" vertical="center" wrapText="1"/>
    </xf>
    <xf numFmtId="0" fontId="4" fillId="0" borderId="0" xfId="9" applyAlignment="1">
      <alignment horizontal="left" vertical="center" wrapText="1"/>
    </xf>
    <xf numFmtId="173" fontId="5" fillId="0" borderId="0" xfId="9" applyNumberFormat="1" applyFont="1" applyAlignment="1">
      <alignment vertical="center" wrapText="1"/>
    </xf>
    <xf numFmtId="16" fontId="42" fillId="0" borderId="0" xfId="209" applyNumberFormat="1" applyFont="1" applyAlignment="1">
      <alignment horizontal="center" vertical="top" wrapText="1"/>
    </xf>
    <xf numFmtId="0" fontId="42" fillId="0" borderId="0" xfId="209" applyFont="1" applyAlignment="1">
      <alignment vertical="top" wrapText="1"/>
    </xf>
    <xf numFmtId="0" fontId="42" fillId="0" borderId="0" xfId="209" applyFont="1" applyAlignment="1">
      <alignment vertical="center" wrapText="1"/>
    </xf>
    <xf numFmtId="0" fontId="42" fillId="0" borderId="0" xfId="209" applyFont="1" applyAlignment="1">
      <alignment horizontal="left" vertical="center" wrapText="1"/>
    </xf>
    <xf numFmtId="173" fontId="37" fillId="0" borderId="0" xfId="209" applyNumberFormat="1" applyFont="1" applyAlignment="1">
      <alignment vertical="center" wrapText="1"/>
    </xf>
    <xf numFmtId="0" fontId="42" fillId="0" borderId="0" xfId="209" applyFont="1" applyAlignment="1">
      <alignment horizontal="center" vertical="top" wrapText="1"/>
    </xf>
    <xf numFmtId="0" fontId="42" fillId="0" borderId="0" xfId="209" applyFont="1" applyAlignment="1">
      <alignment horizontal="right" vertical="top" wrapText="1"/>
    </xf>
    <xf numFmtId="0" fontId="42" fillId="0" borderId="0" xfId="209" applyFont="1" applyAlignment="1">
      <alignment horizontal="right" vertical="center" wrapText="1"/>
    </xf>
    <xf numFmtId="173" fontId="5" fillId="0" borderId="0" xfId="236" applyNumberFormat="1" applyFont="1" applyAlignment="1">
      <alignment vertical="center" wrapText="1"/>
    </xf>
    <xf numFmtId="173" fontId="37" fillId="0" borderId="0" xfId="236" applyNumberFormat="1" applyFont="1" applyAlignment="1">
      <alignment vertical="center" wrapText="1"/>
    </xf>
    <xf numFmtId="0" fontId="4" fillId="0" borderId="0" xfId="8" applyAlignment="1">
      <alignment horizontal="right" vertical="top"/>
    </xf>
    <xf numFmtId="0" fontId="4" fillId="0" borderId="0" xfId="8" applyAlignment="1">
      <alignment horizontal="justify" vertical="top"/>
    </xf>
    <xf numFmtId="0" fontId="4" fillId="0" borderId="0" xfId="8" applyAlignment="1">
      <alignment vertical="center"/>
    </xf>
    <xf numFmtId="0" fontId="4" fillId="0" borderId="0" xfId="8" applyAlignment="1">
      <alignment horizontal="justify" vertical="top" wrapText="1"/>
    </xf>
    <xf numFmtId="0" fontId="4" fillId="0" borderId="0" xfId="8" applyAlignment="1">
      <alignment horizontal="right" vertical="center" wrapText="1"/>
    </xf>
    <xf numFmtId="0" fontId="4" fillId="0" borderId="0" xfId="8" applyAlignment="1">
      <alignment horizontal="left" vertical="center"/>
    </xf>
    <xf numFmtId="0" fontId="4" fillId="0" borderId="0" xfId="8" applyAlignment="1">
      <alignment horizontal="center" vertical="top"/>
    </xf>
    <xf numFmtId="0" fontId="4" fillId="0" borderId="0" xfId="8" applyAlignment="1">
      <alignment horizontal="left" vertical="top" wrapText="1"/>
    </xf>
    <xf numFmtId="0" fontId="4" fillId="0" borderId="0" xfId="8" applyAlignment="1">
      <alignment horizontal="right" wrapText="1"/>
    </xf>
    <xf numFmtId="0" fontId="4" fillId="0" borderId="0" xfId="8" applyAlignment="1">
      <alignment horizontal="left"/>
    </xf>
    <xf numFmtId="0" fontId="4" fillId="0" borderId="0" xfId="209" applyFont="1" applyAlignment="1">
      <alignment vertical="center" wrapText="1"/>
    </xf>
    <xf numFmtId="49" fontId="4" fillId="0" borderId="0" xfId="237" applyNumberFormat="1" applyAlignment="1" applyProtection="1">
      <alignment vertical="top" wrapText="1"/>
      <protection locked="0"/>
    </xf>
    <xf numFmtId="0" fontId="5" fillId="0" borderId="0" xfId="209" applyFont="1" applyAlignment="1">
      <alignment horizontal="center" vertical="top" wrapText="1"/>
    </xf>
    <xf numFmtId="0" fontId="4" fillId="0" borderId="0" xfId="209" applyFont="1" applyAlignment="1">
      <alignment vertical="top" wrapText="1"/>
    </xf>
    <xf numFmtId="0" fontId="4" fillId="0" borderId="0" xfId="209" applyFont="1" applyAlignment="1">
      <alignment wrapText="1"/>
    </xf>
    <xf numFmtId="0" fontId="5" fillId="0" borderId="0" xfId="209" applyFont="1" applyAlignment="1">
      <alignment horizontal="left" wrapText="1"/>
    </xf>
    <xf numFmtId="0" fontId="5" fillId="0" borderId="0" xfId="209" applyFont="1" applyAlignment="1">
      <alignment vertical="center"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55" fillId="0" borderId="0" xfId="0" applyFont="1" applyProtection="1">
      <protection locked="0"/>
    </xf>
    <xf numFmtId="0" fontId="0" fillId="0" borderId="0" xfId="0" applyProtection="1">
      <protection locked="0"/>
    </xf>
    <xf numFmtId="0" fontId="4" fillId="0" borderId="0" xfId="209" applyFont="1" applyAlignment="1">
      <alignment horizontal="right" wrapText="1"/>
    </xf>
    <xf numFmtId="0" fontId="4" fillId="0" borderId="0" xfId="0" applyFont="1" applyAlignment="1">
      <alignment horizontal="right" wrapText="1"/>
    </xf>
    <xf numFmtId="0" fontId="5" fillId="0" borderId="0" xfId="0" applyFont="1" applyAlignment="1">
      <alignment horizontal="left" wrapText="1"/>
    </xf>
    <xf numFmtId="0" fontId="11" fillId="0" borderId="0" xfId="238" applyFont="1" applyAlignment="1">
      <alignment vertical="top" wrapText="1"/>
    </xf>
    <xf numFmtId="173" fontId="4" fillId="0" borderId="0" xfId="14" applyNumberFormat="1" applyAlignment="1">
      <alignment wrapText="1"/>
    </xf>
    <xf numFmtId="0" fontId="11" fillId="0" borderId="0" xfId="235" applyFont="1" applyAlignment="1" applyProtection="1">
      <alignment vertical="top" wrapText="1"/>
      <protection locked="0"/>
    </xf>
    <xf numFmtId="49" fontId="4" fillId="0" borderId="0" xfId="235" applyNumberFormat="1" applyFont="1" applyAlignment="1" applyProtection="1">
      <alignment horizontal="center" vertical="top" wrapText="1"/>
      <protection locked="0"/>
    </xf>
    <xf numFmtId="0" fontId="4" fillId="0" borderId="0" xfId="235" applyFont="1" applyAlignment="1" applyProtection="1">
      <alignment vertical="top" wrapText="1"/>
      <protection locked="0"/>
    </xf>
    <xf numFmtId="0" fontId="4" fillId="0" borderId="0" xfId="235" applyFont="1" applyAlignment="1" applyProtection="1">
      <alignment wrapText="1"/>
      <protection locked="0"/>
    </xf>
    <xf numFmtId="4" fontId="56" fillId="0" borderId="0" xfId="236" applyNumberFormat="1" applyFont="1" applyAlignment="1">
      <alignment wrapText="1"/>
    </xf>
    <xf numFmtId="0" fontId="5" fillId="0" borderId="0" xfId="0" applyFont="1" applyAlignment="1">
      <alignment horizontal="right" vertical="top" wrapText="1"/>
    </xf>
    <xf numFmtId="174" fontId="4" fillId="0" borderId="0" xfId="235" applyNumberFormat="1" applyFont="1" applyAlignment="1">
      <alignment horizontal="center" vertical="top" wrapText="1"/>
    </xf>
    <xf numFmtId="0" fontId="4" fillId="0" borderId="0" xfId="235" applyFont="1" applyAlignment="1">
      <alignment vertical="top" wrapText="1"/>
    </xf>
    <xf numFmtId="0" fontId="4" fillId="0" borderId="0" xfId="235" applyFont="1" applyAlignment="1">
      <alignment horizontal="right" wrapText="1"/>
    </xf>
    <xf numFmtId="0" fontId="4" fillId="0" borderId="0" xfId="235" applyFont="1" applyAlignment="1">
      <alignment horizontal="left" wrapText="1"/>
    </xf>
    <xf numFmtId="0" fontId="4" fillId="0" borderId="0" xfId="235" applyFont="1" applyAlignment="1">
      <alignment wrapText="1"/>
    </xf>
    <xf numFmtId="0" fontId="42" fillId="0" borderId="0" xfId="8" applyFont="1" applyAlignment="1">
      <alignment horizontal="right" vertical="top"/>
    </xf>
    <xf numFmtId="0" fontId="42" fillId="0" borderId="0" xfId="8" applyFont="1" applyAlignment="1">
      <alignment horizontal="right" wrapText="1"/>
    </xf>
    <xf numFmtId="0" fontId="42" fillId="0" borderId="0" xfId="8" applyFont="1" applyAlignment="1">
      <alignment horizontal="left"/>
    </xf>
    <xf numFmtId="0" fontId="4" fillId="0" borderId="0" xfId="8" applyAlignment="1">
      <alignment horizontal="right"/>
    </xf>
    <xf numFmtId="0" fontId="42" fillId="0" borderId="0" xfId="8" applyFont="1" applyAlignment="1">
      <alignment horizontal="justify" vertical="top"/>
    </xf>
    <xf numFmtId="0" fontId="4" fillId="0" borderId="0" xfId="8" applyAlignment="1">
      <alignment horizontal="center" vertical="top" wrapText="1"/>
    </xf>
    <xf numFmtId="0" fontId="5" fillId="0" borderId="0" xfId="9" applyFont="1" applyAlignment="1">
      <alignment vertical="top" wrapText="1"/>
    </xf>
    <xf numFmtId="0" fontId="4" fillId="0" borderId="0" xfId="9" applyAlignment="1">
      <alignment wrapText="1"/>
    </xf>
    <xf numFmtId="0" fontId="5" fillId="0" borderId="0" xfId="9" applyFont="1" applyAlignment="1">
      <alignment horizontal="left" wrapText="1"/>
    </xf>
    <xf numFmtId="0" fontId="5" fillId="0" borderId="0" xfId="9" applyFont="1" applyAlignment="1">
      <alignment vertical="center" wrapText="1"/>
    </xf>
    <xf numFmtId="0" fontId="4" fillId="0" borderId="0" xfId="8" applyAlignment="1">
      <alignment horizontal="left" wrapText="1"/>
    </xf>
    <xf numFmtId="0" fontId="42" fillId="0" borderId="0" xfId="8" applyFont="1" applyAlignment="1">
      <alignment horizontal="left" vertical="top"/>
    </xf>
    <xf numFmtId="0" fontId="4" fillId="0" borderId="0" xfId="8" applyAlignment="1">
      <alignment horizontal="right" vertical="top" wrapText="1"/>
    </xf>
    <xf numFmtId="0" fontId="4" fillId="0" borderId="0" xfId="9" applyAlignment="1">
      <alignment vertical="top" wrapText="1"/>
    </xf>
    <xf numFmtId="0" fontId="4" fillId="0" borderId="0" xfId="239" applyAlignment="1">
      <alignment vertical="top" wrapText="1"/>
    </xf>
    <xf numFmtId="0" fontId="4" fillId="0" borderId="0" xfId="239" applyAlignment="1">
      <alignment wrapText="1"/>
    </xf>
    <xf numFmtId="0" fontId="37" fillId="0" borderId="0" xfId="9" applyFont="1" applyAlignment="1">
      <alignment horizontal="center" vertical="top" wrapText="1"/>
    </xf>
    <xf numFmtId="0" fontId="37" fillId="0" borderId="0" xfId="9" applyFont="1" applyAlignment="1">
      <alignment vertical="top" wrapText="1"/>
    </xf>
    <xf numFmtId="0" fontId="42" fillId="0" borderId="0" xfId="9" applyFont="1" applyAlignment="1">
      <alignment wrapText="1"/>
    </xf>
    <xf numFmtId="0" fontId="37" fillId="0" borderId="0" xfId="9" applyFont="1" applyAlignment="1">
      <alignment horizontal="left" wrapText="1"/>
    </xf>
    <xf numFmtId="0" fontId="42" fillId="0" borderId="0" xfId="9" applyFont="1" applyAlignment="1">
      <alignment vertical="center" wrapText="1"/>
    </xf>
    <xf numFmtId="0" fontId="4" fillId="0" borderId="0" xfId="9" applyAlignment="1">
      <alignment horizontal="center" vertical="top" wrapText="1"/>
    </xf>
    <xf numFmtId="0" fontId="4" fillId="0" borderId="0" xfId="9" applyAlignment="1">
      <alignment horizontal="left" wrapText="1"/>
    </xf>
    <xf numFmtId="0" fontId="5" fillId="0" borderId="0" xfId="9" applyFont="1" applyAlignment="1">
      <alignment horizontal="center" vertical="top" wrapText="1"/>
    </xf>
    <xf numFmtId="0" fontId="4" fillId="0" borderId="0" xfId="9" applyAlignment="1">
      <alignment horizontal="right" wrapText="1"/>
    </xf>
    <xf numFmtId="0" fontId="37" fillId="0" borderId="0" xfId="9" applyFont="1" applyAlignment="1">
      <alignment horizontal="right" vertical="top" wrapText="1"/>
    </xf>
    <xf numFmtId="0" fontId="42" fillId="0" borderId="0" xfId="209" applyFont="1" applyAlignment="1">
      <alignment horizontal="right" wrapText="1"/>
    </xf>
    <xf numFmtId="0" fontId="42" fillId="0" borderId="0" xfId="209" applyFont="1" applyAlignment="1">
      <alignment horizontal="center" wrapText="1"/>
    </xf>
    <xf numFmtId="0" fontId="42" fillId="0" borderId="0" xfId="209" applyFont="1" applyAlignment="1">
      <alignment wrapText="1"/>
    </xf>
    <xf numFmtId="0" fontId="4" fillId="0" borderId="0" xfId="209" applyFont="1" applyAlignment="1">
      <alignment horizontal="center" vertical="top" wrapText="1"/>
    </xf>
    <xf numFmtId="0" fontId="4" fillId="0" borderId="0" xfId="209" applyFont="1" applyAlignment="1">
      <alignment horizontal="center" wrapText="1"/>
    </xf>
    <xf numFmtId="0" fontId="5" fillId="0" borderId="0" xfId="209" applyFont="1" applyAlignment="1">
      <alignment wrapText="1"/>
    </xf>
    <xf numFmtId="175" fontId="4" fillId="0" borderId="0" xfId="209" applyNumberFormat="1" applyFont="1" applyAlignment="1">
      <alignment horizontal="center" vertical="top" wrapText="1"/>
    </xf>
    <xf numFmtId="0" fontId="4" fillId="0" borderId="0" xfId="209" applyFont="1" applyAlignment="1">
      <alignment horizontal="left" wrapText="1"/>
    </xf>
    <xf numFmtId="0" fontId="7" fillId="0" borderId="0" xfId="8" applyFont="1" applyAlignment="1">
      <alignment horizontal="justify" vertical="top"/>
    </xf>
    <xf numFmtId="0" fontId="42" fillId="0" borderId="0" xfId="9" applyFont="1" applyAlignment="1">
      <alignment horizontal="left" wrapText="1"/>
    </xf>
    <xf numFmtId="0" fontId="42" fillId="0" borderId="0" xfId="8" applyFont="1" applyAlignment="1">
      <alignment horizontal="left" vertical="top" wrapText="1"/>
    </xf>
    <xf numFmtId="0" fontId="42" fillId="0" borderId="0" xfId="9" applyFont="1" applyAlignment="1">
      <alignment vertical="top" wrapText="1"/>
    </xf>
    <xf numFmtId="0" fontId="42" fillId="0" borderId="0" xfId="8" applyFont="1" applyAlignment="1">
      <alignment horizontal="right" vertical="center"/>
    </xf>
    <xf numFmtId="0" fontId="42" fillId="0" borderId="0" xfId="8" applyFont="1" applyAlignment="1">
      <alignment horizontal="justify" vertical="center"/>
    </xf>
    <xf numFmtId="0" fontId="4" fillId="0" borderId="0" xfId="8" applyAlignment="1">
      <alignment horizontal="right" vertical="center"/>
    </xf>
    <xf numFmtId="0" fontId="42" fillId="0" borderId="0" xfId="8" applyFont="1" applyAlignment="1">
      <alignment horizontal="left" vertical="center" wrapText="1"/>
    </xf>
    <xf numFmtId="0" fontId="4" fillId="0" borderId="46" xfId="9" applyBorder="1" applyAlignment="1">
      <alignment horizontal="center" vertical="center" wrapText="1"/>
    </xf>
    <xf numFmtId="0" fontId="4" fillId="0" borderId="46" xfId="9" applyBorder="1" applyAlignment="1">
      <alignment vertical="center" wrapText="1"/>
    </xf>
    <xf numFmtId="0" fontId="4" fillId="0" borderId="46" xfId="9" applyBorder="1" applyAlignment="1">
      <alignment horizontal="left" vertical="center" wrapText="1"/>
    </xf>
    <xf numFmtId="0" fontId="37" fillId="0" borderId="0" xfId="9" applyFont="1" applyAlignment="1">
      <alignment horizontal="center" vertical="center" wrapText="1"/>
    </xf>
    <xf numFmtId="0" fontId="37" fillId="0" borderId="0" xfId="9" applyFont="1" applyAlignment="1">
      <alignment horizontal="left" vertical="center" wrapText="1"/>
    </xf>
    <xf numFmtId="0" fontId="36" fillId="0" borderId="0" xfId="209" applyFont="1" applyAlignment="1">
      <alignment wrapText="1"/>
    </xf>
    <xf numFmtId="0" fontId="58" fillId="0" borderId="0" xfId="209" applyFont="1" applyAlignment="1">
      <alignment horizontal="left" indent="2"/>
    </xf>
    <xf numFmtId="0" fontId="59" fillId="0" borderId="5" xfId="209" applyFont="1" applyBorder="1" applyAlignment="1">
      <alignment horizontal="center" vertical="center" wrapText="1"/>
    </xf>
    <xf numFmtId="173" fontId="59" fillId="0" borderId="5" xfId="209" applyNumberFormat="1" applyFont="1" applyBorder="1" applyAlignment="1">
      <alignment horizontal="center" vertical="center" wrapText="1"/>
    </xf>
    <xf numFmtId="0" fontId="60" fillId="0" borderId="0" xfId="209" applyFont="1" applyAlignment="1">
      <alignment horizontal="center" vertical="center" wrapText="1"/>
    </xf>
    <xf numFmtId="0" fontId="40" fillId="0" borderId="0" xfId="209" applyFont="1" applyAlignment="1">
      <alignment wrapText="1"/>
    </xf>
    <xf numFmtId="0" fontId="42" fillId="0" borderId="0" xfId="209" applyFont="1" applyAlignment="1">
      <alignment horizontal="left" wrapText="1"/>
    </xf>
    <xf numFmtId="49" fontId="0" fillId="0" borderId="0" xfId="174" applyNumberFormat="1" applyFont="1" applyAlignment="1">
      <alignment horizontal="left" vertical="top" wrapText="1"/>
    </xf>
    <xf numFmtId="0" fontId="5" fillId="0" borderId="0" xfId="235" applyFont="1" applyAlignment="1" applyProtection="1">
      <alignment wrapText="1"/>
      <protection locked="0"/>
    </xf>
    <xf numFmtId="49" fontId="0" fillId="0" borderId="0" xfId="174" quotePrefix="1" applyNumberFormat="1" applyFont="1" applyAlignment="1">
      <alignment horizontal="justify" vertical="top"/>
    </xf>
    <xf numFmtId="0" fontId="5" fillId="0" borderId="0" xfId="235" applyFont="1" applyAlignment="1" applyProtection="1">
      <alignment vertical="top" wrapText="1"/>
      <protection locked="0"/>
    </xf>
    <xf numFmtId="174" fontId="4" fillId="0" borderId="0" xfId="238" applyNumberFormat="1" applyFont="1" applyAlignment="1">
      <alignment horizontal="center" vertical="top" wrapText="1"/>
    </xf>
    <xf numFmtId="0" fontId="4" fillId="0" borderId="0" xfId="238" applyFont="1" applyAlignment="1">
      <alignment wrapText="1"/>
    </xf>
    <xf numFmtId="0" fontId="4" fillId="0" borderId="0" xfId="238" applyFont="1" applyAlignment="1">
      <alignment horizontal="right" wrapText="1"/>
    </xf>
    <xf numFmtId="0" fontId="4" fillId="0" borderId="0" xfId="235" applyFont="1" applyAlignment="1" applyProtection="1">
      <alignment horizontal="left" wrapText="1"/>
      <protection locked="0"/>
    </xf>
    <xf numFmtId="49" fontId="0" fillId="0" borderId="0" xfId="174" applyNumberFormat="1" applyFont="1" applyAlignment="1">
      <alignment vertical="top" wrapText="1"/>
    </xf>
    <xf numFmtId="0" fontId="4" fillId="0" borderId="0" xfId="8"/>
    <xf numFmtId="0" fontId="4" fillId="0" borderId="0" xfId="8" applyAlignment="1">
      <alignment wrapText="1"/>
    </xf>
    <xf numFmtId="49" fontId="0" fillId="0" borderId="0" xfId="174" applyNumberFormat="1" applyFont="1" applyAlignment="1">
      <alignment wrapText="1"/>
    </xf>
    <xf numFmtId="0" fontId="4" fillId="0" borderId="0" xfId="82" applyFont="1" applyAlignment="1">
      <alignment horizontal="center" vertical="top" wrapText="1"/>
    </xf>
    <xf numFmtId="0" fontId="4" fillId="0" borderId="0" xfId="82" applyFont="1" applyAlignment="1">
      <alignment wrapText="1"/>
    </xf>
    <xf numFmtId="0" fontId="4" fillId="0" borderId="0" xfId="82" applyFont="1" applyAlignment="1">
      <alignment vertical="top" wrapText="1"/>
    </xf>
    <xf numFmtId="0" fontId="4" fillId="0" borderId="0" xfId="209" applyFont="1" applyAlignment="1">
      <alignment horizontal="left"/>
    </xf>
    <xf numFmtId="0" fontId="4" fillId="0" borderId="0" xfId="235" applyFont="1" applyAlignment="1" applyProtection="1">
      <alignment horizontal="right" wrapText="1"/>
      <protection locked="0"/>
    </xf>
    <xf numFmtId="176" fontId="4" fillId="0" borderId="0" xfId="209" applyNumberFormat="1" applyFont="1" applyAlignment="1">
      <alignment horizontal="center"/>
    </xf>
    <xf numFmtId="0" fontId="4" fillId="0" borderId="0" xfId="209" applyFont="1"/>
    <xf numFmtId="0" fontId="4" fillId="0" borderId="0" xfId="209" applyFont="1" applyAlignment="1">
      <alignment horizontal="right"/>
    </xf>
    <xf numFmtId="0" fontId="6" fillId="0" borderId="0" xfId="209" applyFont="1" applyAlignment="1">
      <alignment wrapText="1"/>
    </xf>
    <xf numFmtId="0" fontId="42" fillId="0" borderId="0" xfId="239" applyFont="1" applyAlignment="1">
      <alignment vertical="top" wrapText="1"/>
    </xf>
    <xf numFmtId="0" fontId="42" fillId="0" borderId="0" xfId="239" applyFont="1" applyAlignment="1">
      <alignment wrapText="1"/>
    </xf>
    <xf numFmtId="0" fontId="42" fillId="0" borderId="46" xfId="209" applyFont="1" applyBorder="1" applyAlignment="1">
      <alignment horizontal="center" wrapText="1"/>
    </xf>
    <xf numFmtId="0" fontId="42" fillId="0" borderId="46" xfId="209" applyFont="1" applyBorder="1" applyAlignment="1">
      <alignment wrapText="1"/>
    </xf>
    <xf numFmtId="0" fontId="42" fillId="0" borderId="46" xfId="209" applyFont="1" applyBorder="1" applyAlignment="1">
      <alignment horizontal="left" wrapText="1"/>
    </xf>
    <xf numFmtId="0" fontId="42" fillId="0" borderId="0" xfId="209" applyFont="1" applyAlignment="1">
      <alignment horizontal="center" vertical="center" wrapText="1"/>
    </xf>
    <xf numFmtId="173" fontId="42" fillId="0" borderId="0" xfId="240" applyNumberFormat="1" applyFont="1" applyAlignment="1">
      <alignment vertical="center" wrapText="1"/>
    </xf>
    <xf numFmtId="0" fontId="7" fillId="0" borderId="0" xfId="209" applyFont="1" applyAlignment="1">
      <alignment horizontal="center" vertical="center" wrapText="1"/>
    </xf>
    <xf numFmtId="7" fontId="42" fillId="0" borderId="0" xfId="240" applyNumberFormat="1" applyFont="1" applyAlignment="1">
      <alignment vertical="center" wrapText="1"/>
    </xf>
    <xf numFmtId="0" fontId="7" fillId="0" borderId="0" xfId="209" applyFont="1" applyAlignment="1">
      <alignment vertical="center" wrapText="1"/>
    </xf>
    <xf numFmtId="49" fontId="4" fillId="0" borderId="0" xfId="235" applyNumberFormat="1" applyFont="1" applyAlignment="1">
      <alignment horizontal="center" vertical="top" wrapText="1"/>
    </xf>
    <xf numFmtId="0" fontId="63" fillId="0" borderId="0" xfId="209" quotePrefix="1" applyFont="1" applyAlignment="1">
      <alignment horizontal="left" wrapText="1"/>
    </xf>
    <xf numFmtId="0" fontId="36" fillId="0" borderId="0" xfId="209" quotePrefix="1" applyFont="1" applyAlignment="1">
      <alignment horizontal="left" wrapText="1"/>
    </xf>
    <xf numFmtId="0" fontId="4" fillId="0" borderId="0" xfId="239" applyAlignment="1">
      <alignment horizontal="left" wrapText="1"/>
    </xf>
    <xf numFmtId="0" fontId="4" fillId="0" borderId="0" xfId="240" applyAlignment="1">
      <alignment wrapText="1"/>
    </xf>
    <xf numFmtId="0" fontId="7" fillId="0" borderId="0" xfId="209" applyFont="1" applyAlignment="1">
      <alignment horizontal="left" vertical="center" wrapText="1"/>
    </xf>
    <xf numFmtId="173" fontId="7" fillId="0" borderId="0" xfId="240" applyNumberFormat="1" applyFont="1" applyAlignment="1">
      <alignment vertical="center" wrapText="1"/>
    </xf>
    <xf numFmtId="173" fontId="4" fillId="0" borderId="0" xfId="140" applyNumberFormat="1" applyAlignment="1">
      <alignment wrapText="1"/>
    </xf>
    <xf numFmtId="7" fontId="7" fillId="0" borderId="6" xfId="0" applyNumberFormat="1" applyFont="1" applyBorder="1"/>
    <xf numFmtId="0" fontId="6" fillId="0" borderId="0" xfId="0" applyFont="1" applyBorder="1"/>
    <xf numFmtId="0" fontId="4" fillId="0" borderId="0" xfId="9" applyAlignment="1">
      <alignment horizontal="right" vertical="center"/>
    </xf>
    <xf numFmtId="0" fontId="42" fillId="0" borderId="0" xfId="235" applyFont="1" applyAlignment="1" applyProtection="1">
      <alignment horizontal="right" vertical="center" wrapText="1"/>
      <protection locked="0"/>
    </xf>
    <xf numFmtId="0" fontId="42" fillId="0" borderId="5" xfId="9" applyFont="1" applyBorder="1" applyAlignment="1">
      <alignment horizontal="right" vertical="center"/>
    </xf>
    <xf numFmtId="0" fontId="4" fillId="0" borderId="0" xfId="9" applyAlignment="1">
      <alignment horizontal="right" vertical="center" wrapText="1"/>
    </xf>
    <xf numFmtId="0" fontId="5" fillId="0" borderId="0" xfId="209" applyFont="1" applyAlignment="1">
      <alignment horizontal="right" wrapText="1"/>
    </xf>
    <xf numFmtId="0" fontId="5" fillId="0" borderId="0" xfId="0" applyFont="1" applyAlignment="1">
      <alignment horizontal="right" wrapText="1"/>
    </xf>
    <xf numFmtId="0" fontId="42" fillId="0" borderId="0" xfId="8" applyFont="1" applyAlignment="1">
      <alignment horizontal="right"/>
    </xf>
    <xf numFmtId="0" fontId="5" fillId="0" borderId="0" xfId="9" applyFont="1" applyAlignment="1">
      <alignment horizontal="right" wrapText="1"/>
    </xf>
    <xf numFmtId="0" fontId="4" fillId="0" borderId="0" xfId="239" applyAlignment="1">
      <alignment horizontal="right" wrapText="1"/>
    </xf>
    <xf numFmtId="0" fontId="37" fillId="0" borderId="0" xfId="9" applyFont="1" applyAlignment="1">
      <alignment horizontal="right" wrapText="1"/>
    </xf>
    <xf numFmtId="0" fontId="42" fillId="0" borderId="0" xfId="9" applyFont="1" applyAlignment="1">
      <alignment horizontal="right" wrapText="1"/>
    </xf>
    <xf numFmtId="0" fontId="42" fillId="0" borderId="0" xfId="8" applyFont="1" applyAlignment="1">
      <alignment horizontal="right" vertical="center" wrapText="1"/>
    </xf>
    <xf numFmtId="0" fontId="4" fillId="0" borderId="46" xfId="9" applyBorder="1" applyAlignment="1">
      <alignment horizontal="right" vertical="center" wrapText="1"/>
    </xf>
    <xf numFmtId="0" fontId="37" fillId="0" borderId="0" xfId="9" applyFont="1" applyAlignment="1">
      <alignment horizontal="right" vertical="center" wrapText="1"/>
    </xf>
    <xf numFmtId="0" fontId="46" fillId="0" borderId="8" xfId="241" applyFont="1" applyFill="1" applyBorder="1" applyAlignment="1">
      <alignment horizontal="left" vertical="center" wrapText="1"/>
    </xf>
    <xf numFmtId="0" fontId="46" fillId="0" borderId="47" xfId="241" applyFont="1" applyFill="1" applyBorder="1" applyAlignment="1">
      <alignment horizontal="left" vertical="center" wrapText="1"/>
    </xf>
    <xf numFmtId="0" fontId="65" fillId="0" borderId="0" xfId="0" applyFont="1" applyAlignment="1">
      <alignment horizontal="left"/>
    </xf>
    <xf numFmtId="172" fontId="65" fillId="0" borderId="0" xfId="0" applyNumberFormat="1" applyFont="1"/>
    <xf numFmtId="44" fontId="46" fillId="0" borderId="0" xfId="0" applyNumberFormat="1" applyFont="1" applyAlignment="1">
      <alignment vertical="center"/>
    </xf>
    <xf numFmtId="44" fontId="46" fillId="0" borderId="0" xfId="0" applyNumberFormat="1" applyFont="1" applyAlignment="1">
      <alignment horizontal="right" vertical="center"/>
    </xf>
    <xf numFmtId="44" fontId="65" fillId="0" borderId="0" xfId="0" applyNumberFormat="1" applyFont="1" applyAlignment="1">
      <alignment horizontal="right" vertical="center"/>
    </xf>
    <xf numFmtId="44" fontId="46" fillId="0" borderId="47" xfId="0" applyNumberFormat="1" applyFont="1" applyBorder="1" applyAlignment="1">
      <alignment vertical="center"/>
    </xf>
    <xf numFmtId="44" fontId="46" fillId="0" borderId="47" xfId="0" applyNumberFormat="1" applyFont="1" applyBorder="1" applyAlignment="1">
      <alignment horizontal="right" vertical="center"/>
    </xf>
    <xf numFmtId="44" fontId="47" fillId="0" borderId="0" xfId="21" applyNumberFormat="1" applyFont="1" applyAlignment="1">
      <alignment horizontal="right" vertical="center"/>
    </xf>
    <xf numFmtId="44" fontId="51" fillId="0" borderId="0" xfId="0" applyNumberFormat="1" applyFont="1" applyAlignment="1">
      <alignment vertical="center"/>
    </xf>
    <xf numFmtId="44" fontId="46" fillId="0" borderId="0" xfId="0" applyNumberFormat="1" applyFont="1"/>
    <xf numFmtId="44" fontId="46" fillId="0" borderId="0" xfId="0" applyNumberFormat="1" applyFont="1" applyAlignment="1">
      <alignment horizontal="right"/>
    </xf>
    <xf numFmtId="44" fontId="54" fillId="0" borderId="0" xfId="0" applyNumberFormat="1" applyFont="1" applyAlignment="1">
      <alignment vertical="center"/>
    </xf>
    <xf numFmtId="44" fontId="54" fillId="0" borderId="0" xfId="0" applyNumberFormat="1" applyFont="1" applyAlignment="1">
      <alignment horizontal="right" vertical="center"/>
    </xf>
    <xf numFmtId="44" fontId="46" fillId="0" borderId="0" xfId="21" applyNumberFormat="1" applyFont="1" applyAlignment="1">
      <alignment horizontal="right" vertical="center"/>
    </xf>
    <xf numFmtId="44" fontId="36" fillId="0" borderId="0" xfId="209" applyNumberFormat="1" applyFont="1" applyAlignment="1">
      <alignment wrapText="1"/>
    </xf>
    <xf numFmtId="44" fontId="4" fillId="0" borderId="0" xfId="240" applyNumberFormat="1" applyAlignment="1">
      <alignment wrapText="1"/>
    </xf>
    <xf numFmtId="44" fontId="61" fillId="0" borderId="0" xfId="209" applyNumberFormat="1" applyFont="1" applyAlignment="1">
      <alignment horizontal="right"/>
    </xf>
    <xf numFmtId="44" fontId="4" fillId="0" borderId="0" xfId="209" applyNumberFormat="1" applyFont="1" applyAlignment="1">
      <alignment wrapText="1"/>
    </xf>
    <xf numFmtId="44" fontId="42" fillId="0" borderId="0" xfId="240" applyNumberFormat="1" applyFont="1" applyAlignment="1">
      <alignment wrapText="1"/>
    </xf>
    <xf numFmtId="44" fontId="42" fillId="0" borderId="0" xfId="209" applyNumberFormat="1" applyFont="1" applyAlignment="1">
      <alignment wrapText="1"/>
    </xf>
    <xf numFmtId="44" fontId="62" fillId="0" borderId="0" xfId="209" applyNumberFormat="1" applyFont="1" applyAlignment="1">
      <alignment horizontal="right"/>
    </xf>
    <xf numFmtId="44" fontId="42" fillId="0" borderId="46" xfId="240" applyNumberFormat="1" applyFont="1" applyBorder="1" applyAlignment="1">
      <alignment wrapText="1"/>
    </xf>
    <xf numFmtId="44" fontId="42" fillId="0" borderId="0" xfId="240" applyNumberFormat="1" applyFont="1" applyAlignment="1">
      <alignment vertical="center" wrapText="1"/>
    </xf>
    <xf numFmtId="44" fontId="5" fillId="0" borderId="0" xfId="14" applyNumberFormat="1" applyFont="1" applyAlignment="1">
      <alignment wrapText="1"/>
    </xf>
    <xf numFmtId="44" fontId="5" fillId="0" borderId="0" xfId="0" applyNumberFormat="1" applyFont="1" applyAlignment="1">
      <alignment wrapText="1"/>
    </xf>
    <xf numFmtId="44" fontId="5" fillId="0" borderId="0" xfId="209" applyNumberFormat="1" applyFont="1" applyAlignment="1">
      <alignment wrapText="1"/>
    </xf>
    <xf numFmtId="44" fontId="37" fillId="0" borderId="0" xfId="9" applyNumberFormat="1" applyFont="1" applyAlignment="1">
      <alignment wrapText="1"/>
    </xf>
    <xf numFmtId="44" fontId="37" fillId="0" borderId="0" xfId="14" applyNumberFormat="1" applyFont="1" applyAlignment="1">
      <alignment wrapText="1"/>
    </xf>
    <xf numFmtId="44" fontId="5" fillId="0" borderId="0" xfId="9" applyNumberFormat="1" applyFont="1" applyAlignment="1">
      <alignment wrapText="1"/>
    </xf>
    <xf numFmtId="44" fontId="37" fillId="0" borderId="0" xfId="209" applyNumberFormat="1" applyFont="1" applyAlignment="1">
      <alignment wrapText="1"/>
    </xf>
    <xf numFmtId="44" fontId="37" fillId="0" borderId="0" xfId="236" applyNumberFormat="1" applyFont="1" applyAlignment="1">
      <alignment wrapText="1"/>
    </xf>
    <xf numFmtId="44" fontId="57" fillId="0" borderId="0" xfId="9" applyNumberFormat="1" applyFont="1" applyAlignment="1">
      <alignment vertical="center" wrapText="1"/>
    </xf>
    <xf numFmtId="44" fontId="37" fillId="0" borderId="0" xfId="9" applyNumberFormat="1" applyFont="1" applyAlignment="1">
      <alignment vertical="center" wrapText="1"/>
    </xf>
    <xf numFmtId="44" fontId="57" fillId="0" borderId="46" xfId="9" applyNumberFormat="1" applyFont="1" applyBorder="1" applyAlignment="1">
      <alignment vertical="center" wrapText="1"/>
    </xf>
    <xf numFmtId="44" fontId="37" fillId="0" borderId="0" xfId="240" applyNumberFormat="1" applyFont="1" applyAlignment="1">
      <alignment vertical="center" wrapText="1"/>
    </xf>
    <xf numFmtId="44" fontId="5" fillId="0" borderId="0" xfId="9" applyNumberFormat="1" applyFont="1" applyAlignment="1">
      <alignment vertical="center" wrapText="1"/>
    </xf>
    <xf numFmtId="44" fontId="5" fillId="0" borderId="0" xfId="140" applyNumberFormat="1" applyFont="1" applyAlignment="1">
      <alignment wrapText="1"/>
    </xf>
    <xf numFmtId="44" fontId="37" fillId="0" borderId="0" xfId="140" applyNumberFormat="1" applyFont="1" applyAlignment="1">
      <alignment wrapText="1"/>
    </xf>
    <xf numFmtId="44" fontId="5" fillId="0" borderId="28" xfId="1" applyNumberFormat="1" applyFont="1" applyBorder="1" applyAlignment="1" applyProtection="1">
      <alignment horizontal="right"/>
      <protection locked="0"/>
    </xf>
    <xf numFmtId="44" fontId="5" fillId="0" borderId="8" xfId="1" applyNumberFormat="1" applyFont="1" applyBorder="1" applyAlignment="1" applyProtection="1">
      <alignment horizontal="right"/>
      <protection locked="0"/>
    </xf>
    <xf numFmtId="44" fontId="4" fillId="4" borderId="8" xfId="1" applyNumberFormat="1" applyFont="1" applyFill="1" applyBorder="1" applyAlignment="1" applyProtection="1">
      <alignment horizontal="right"/>
      <protection locked="0"/>
    </xf>
    <xf numFmtId="44" fontId="5" fillId="0" borderId="39" xfId="1" applyNumberFormat="1" applyFont="1" applyFill="1" applyBorder="1" applyAlignment="1" applyProtection="1">
      <alignment horizontal="right"/>
      <protection locked="0"/>
    </xf>
    <xf numFmtId="44" fontId="5" fillId="0" borderId="12" xfId="1" applyNumberFormat="1" applyFont="1" applyFill="1" applyBorder="1" applyAlignment="1" applyProtection="1">
      <alignment horizontal="right"/>
      <protection locked="0"/>
    </xf>
    <xf numFmtId="44" fontId="5" fillId="0" borderId="41" xfId="1" applyNumberFormat="1" applyFont="1" applyFill="1" applyBorder="1" applyAlignment="1" applyProtection="1">
      <alignment horizontal="right"/>
      <protection locked="0"/>
    </xf>
    <xf numFmtId="44" fontId="5" fillId="0" borderId="8" xfId="1" applyNumberFormat="1" applyFont="1" applyFill="1" applyBorder="1" applyAlignment="1" applyProtection="1">
      <alignment horizontal="right"/>
      <protection locked="0"/>
    </xf>
    <xf numFmtId="44" fontId="5" fillId="4" borderId="8" xfId="1" applyNumberFormat="1" applyFont="1" applyFill="1" applyBorder="1" applyAlignment="1" applyProtection="1">
      <alignment horizontal="right"/>
      <protection locked="0"/>
    </xf>
    <xf numFmtId="44" fontId="5" fillId="0" borderId="8" xfId="0" applyNumberFormat="1" applyFont="1" applyBorder="1" applyAlignment="1" applyProtection="1">
      <alignment horizontal="right"/>
      <protection locked="0"/>
    </xf>
    <xf numFmtId="44" fontId="5" fillId="0" borderId="41" xfId="0" applyNumberFormat="1" applyFont="1" applyBorder="1" applyAlignment="1" applyProtection="1">
      <alignment horizontal="right"/>
      <protection locked="0"/>
    </xf>
    <xf numFmtId="44" fontId="5" fillId="0" borderId="12" xfId="0" applyNumberFormat="1" applyFont="1" applyFill="1" applyBorder="1" applyAlignment="1" applyProtection="1">
      <alignment horizontal="right"/>
      <protection locked="0"/>
    </xf>
    <xf numFmtId="44" fontId="5" fillId="0" borderId="12" xfId="0" applyNumberFormat="1" applyFont="1" applyBorder="1" applyAlignment="1" applyProtection="1">
      <alignment horizontal="right"/>
      <protection locked="0"/>
    </xf>
    <xf numFmtId="44" fontId="5" fillId="0" borderId="8" xfId="0" applyNumberFormat="1" applyFont="1" applyFill="1" applyBorder="1" applyAlignment="1" applyProtection="1">
      <alignment horizontal="right"/>
      <protection locked="0"/>
    </xf>
    <xf numFmtId="44" fontId="5" fillId="0" borderId="8" xfId="34" applyNumberFormat="1" applyFont="1" applyBorder="1" applyAlignment="1" applyProtection="1">
      <alignment horizontal="right"/>
      <protection locked="0"/>
    </xf>
    <xf numFmtId="44" fontId="5" fillId="0" borderId="8" xfId="216" applyNumberFormat="1" applyFont="1" applyBorder="1" applyAlignment="1" applyProtection="1">
      <alignment horizontal="right"/>
      <protection locked="0"/>
    </xf>
    <xf numFmtId="44" fontId="5" fillId="0" borderId="8" xfId="216" applyNumberFormat="1" applyFont="1" applyFill="1" applyBorder="1" applyAlignment="1" applyProtection="1">
      <alignment horizontal="right"/>
      <protection locked="0"/>
    </xf>
    <xf numFmtId="170" fontId="0" fillId="0" borderId="8" xfId="22" applyNumberFormat="1" applyFont="1" applyBorder="1" applyAlignment="1" applyProtection="1">
      <alignment horizontal="right"/>
      <protection locked="0"/>
    </xf>
    <xf numFmtId="44" fontId="46" fillId="0" borderId="0" xfId="0" applyNumberFormat="1" applyFont="1" applyAlignment="1" applyProtection="1">
      <alignment vertical="center"/>
      <protection locked="0"/>
    </xf>
    <xf numFmtId="44" fontId="65" fillId="0" borderId="0" xfId="0" applyNumberFormat="1" applyFont="1" applyAlignment="1" applyProtection="1">
      <alignment vertical="center"/>
      <protection locked="0"/>
    </xf>
    <xf numFmtId="44" fontId="47" fillId="0" borderId="0" xfId="0" applyNumberFormat="1" applyFont="1" applyAlignment="1" applyProtection="1">
      <alignment vertical="center"/>
      <protection locked="0"/>
    </xf>
    <xf numFmtId="44" fontId="46" fillId="0" borderId="0" xfId="0" applyNumberFormat="1" applyFont="1" applyProtection="1">
      <protection locked="0"/>
    </xf>
    <xf numFmtId="0" fontId="46" fillId="6" borderId="46" xfId="0" applyFont="1" applyFill="1" applyBorder="1" applyAlignment="1" applyProtection="1">
      <alignment vertical="center"/>
      <protection locked="0"/>
    </xf>
    <xf numFmtId="44" fontId="61" fillId="0" borderId="0" xfId="209" applyNumberFormat="1" applyFont="1" applyAlignment="1" applyProtection="1">
      <alignment horizontal="right"/>
      <protection locked="0"/>
    </xf>
    <xf numFmtId="44" fontId="4" fillId="0" borderId="0" xfId="209" applyNumberFormat="1" applyFont="1" applyAlignment="1" applyProtection="1">
      <alignment wrapText="1"/>
      <protection locked="0"/>
    </xf>
    <xf numFmtId="44" fontId="4" fillId="0" borderId="0" xfId="240" applyNumberFormat="1" applyAlignment="1" applyProtection="1">
      <alignment wrapText="1"/>
      <protection locked="0"/>
    </xf>
    <xf numFmtId="44" fontId="42" fillId="0" borderId="0" xfId="240" applyNumberFormat="1" applyFont="1" applyAlignment="1" applyProtection="1">
      <alignment wrapText="1"/>
      <protection locked="0"/>
    </xf>
    <xf numFmtId="44" fontId="42" fillId="0" borderId="0" xfId="240" applyNumberFormat="1" applyFont="1" applyAlignment="1" applyProtection="1">
      <alignment vertical="center" wrapText="1"/>
      <protection locked="0"/>
    </xf>
    <xf numFmtId="44" fontId="5" fillId="0" borderId="0" xfId="14" applyNumberFormat="1" applyFont="1" applyAlignment="1" applyProtection="1">
      <alignment wrapText="1"/>
      <protection locked="0"/>
    </xf>
    <xf numFmtId="44" fontId="37" fillId="0" borderId="0" xfId="9" applyNumberFormat="1" applyFont="1" applyAlignment="1" applyProtection="1">
      <alignment wrapText="1"/>
      <protection locked="0"/>
    </xf>
    <xf numFmtId="44" fontId="5" fillId="0" borderId="0" xfId="209" applyNumberFormat="1" applyFont="1" applyAlignment="1" applyProtection="1">
      <alignment wrapText="1"/>
      <protection locked="0"/>
    </xf>
    <xf numFmtId="44" fontId="5" fillId="0" borderId="0" xfId="9" applyNumberFormat="1" applyFont="1" applyAlignment="1" applyProtection="1">
      <alignment wrapText="1"/>
      <protection locked="0"/>
    </xf>
    <xf numFmtId="44" fontId="37" fillId="0" borderId="0" xfId="209" applyNumberFormat="1" applyFont="1" applyAlignment="1" applyProtection="1">
      <alignment wrapText="1"/>
      <protection locked="0"/>
    </xf>
    <xf numFmtId="44" fontId="37" fillId="0" borderId="0" xfId="240" applyNumberFormat="1" applyFont="1" applyAlignment="1" applyProtection="1">
      <alignment wrapText="1"/>
      <protection locked="0"/>
    </xf>
    <xf numFmtId="44" fontId="37" fillId="0" borderId="0" xfId="240" applyNumberFormat="1" applyFont="1" applyAlignment="1" applyProtection="1">
      <alignment vertical="center" wrapText="1"/>
      <protection locked="0"/>
    </xf>
    <xf numFmtId="44" fontId="5" fillId="0" borderId="0" xfId="140" applyNumberFormat="1" applyFont="1" applyAlignment="1" applyProtection="1">
      <alignment wrapText="1"/>
      <protection locked="0"/>
    </xf>
    <xf numFmtId="44" fontId="5" fillId="4" borderId="8" xfId="19" applyNumberFormat="1" applyFont="1" applyFill="1" applyBorder="1" applyAlignment="1" applyProtection="1">
      <alignment horizontal="right"/>
      <protection locked="0"/>
    </xf>
    <xf numFmtId="0" fontId="40" fillId="0" borderId="4" xfId="6" applyFont="1" applyBorder="1" applyAlignment="1">
      <alignment horizontal="left" vertical="top" wrapText="1"/>
    </xf>
    <xf numFmtId="0" fontId="40" fillId="0" borderId="5" xfId="6" applyFont="1" applyBorder="1" applyAlignment="1">
      <alignment horizontal="left" vertical="top" wrapText="1"/>
    </xf>
    <xf numFmtId="0" fontId="40" fillId="0" borderId="6" xfId="6" applyFont="1" applyBorder="1" applyAlignment="1">
      <alignment horizontal="left" vertical="top" wrapText="1"/>
    </xf>
    <xf numFmtId="0" fontId="40" fillId="0" borderId="4" xfId="9" applyFont="1" applyBorder="1" applyAlignment="1">
      <alignment horizontal="left" vertical="top" wrapText="1"/>
    </xf>
    <xf numFmtId="0" fontId="40" fillId="0" borderId="5" xfId="9" applyFont="1" applyBorder="1" applyAlignment="1">
      <alignment horizontal="left" vertical="top" wrapText="1"/>
    </xf>
    <xf numFmtId="0" fontId="40" fillId="0" borderId="6" xfId="9" applyFont="1" applyBorder="1" applyAlignment="1">
      <alignment horizontal="left" vertical="top"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3" fillId="0" borderId="0" xfId="209" applyFont="1" applyAlignment="1">
      <alignment horizontal="left" vertical="top" wrapText="1"/>
    </xf>
    <xf numFmtId="0" fontId="6" fillId="0" borderId="0" xfId="235" applyFont="1" applyAlignment="1" applyProtection="1">
      <alignment horizontal="left" vertical="center" wrapText="1"/>
      <protection locked="0"/>
    </xf>
  </cellXfs>
  <cellStyles count="242">
    <cellStyle name="20 % – Poudarek1 2" xfId="35" xr:uid="{00000000-0005-0000-0000-000000000000}"/>
    <cellStyle name="20 % – Poudarek2 2" xfId="36" xr:uid="{00000000-0005-0000-0000-000001000000}"/>
    <cellStyle name="20 % – Poudarek3 2" xfId="37" xr:uid="{00000000-0005-0000-0000-000002000000}"/>
    <cellStyle name="20 % – Poudarek4 2" xfId="38" xr:uid="{00000000-0005-0000-0000-000003000000}"/>
    <cellStyle name="20 % – Poudarek5 2" xfId="39" xr:uid="{00000000-0005-0000-0000-000004000000}"/>
    <cellStyle name="20 % – Poudarek6 2" xfId="40" xr:uid="{00000000-0005-0000-0000-000005000000}"/>
    <cellStyle name="40 % – Poudarek1 2" xfId="41" xr:uid="{00000000-0005-0000-0000-000006000000}"/>
    <cellStyle name="40 % – Poudarek2 2" xfId="42" xr:uid="{00000000-0005-0000-0000-000007000000}"/>
    <cellStyle name="40 % – Poudarek3 2" xfId="43" xr:uid="{00000000-0005-0000-0000-000008000000}"/>
    <cellStyle name="40 % – Poudarek4 2" xfId="44" xr:uid="{00000000-0005-0000-0000-000009000000}"/>
    <cellStyle name="40 % – Poudarek5 2" xfId="45" xr:uid="{00000000-0005-0000-0000-00000A000000}"/>
    <cellStyle name="40 % – Poudarek6 2" xfId="46" xr:uid="{00000000-0005-0000-0000-00000B000000}"/>
    <cellStyle name="60 % – Poudarek1 2" xfId="47" xr:uid="{00000000-0005-0000-0000-00000C000000}"/>
    <cellStyle name="60 % – Poudarek2 2" xfId="48" xr:uid="{00000000-0005-0000-0000-00000D000000}"/>
    <cellStyle name="60 % – Poudarek3 2" xfId="49" xr:uid="{00000000-0005-0000-0000-00000E000000}"/>
    <cellStyle name="60 % – Poudarek4 2" xfId="50" xr:uid="{00000000-0005-0000-0000-00000F000000}"/>
    <cellStyle name="60 % – Poudarek5 2" xfId="51" xr:uid="{00000000-0005-0000-0000-000010000000}"/>
    <cellStyle name="60 % – Poudarek6 2" xfId="52" xr:uid="{00000000-0005-0000-0000-000011000000}"/>
    <cellStyle name="Dobro 2" xfId="53" xr:uid="{00000000-0005-0000-0000-000012000000}"/>
    <cellStyle name="Izhod 2" xfId="54" xr:uid="{00000000-0005-0000-0000-000013000000}"/>
    <cellStyle name="Naslov 1 2" xfId="56" xr:uid="{00000000-0005-0000-0000-000014000000}"/>
    <cellStyle name="Naslov 2 2" xfId="57" xr:uid="{00000000-0005-0000-0000-000015000000}"/>
    <cellStyle name="Naslov 3 2" xfId="58" xr:uid="{00000000-0005-0000-0000-000016000000}"/>
    <cellStyle name="Naslov 4 2" xfId="59" xr:uid="{00000000-0005-0000-0000-000017000000}"/>
    <cellStyle name="Naslov 5" xfId="55" xr:uid="{00000000-0005-0000-0000-000018000000}"/>
    <cellStyle name="Navadno" xfId="0" builtinId="0"/>
    <cellStyle name="Navadno 10" xfId="20" xr:uid="{00000000-0005-0000-0000-00001A000000}"/>
    <cellStyle name="Navadno 10 2" xfId="24" xr:uid="{00000000-0005-0000-0000-00001B000000}"/>
    <cellStyle name="Navadno 10 2 2" xfId="97" xr:uid="{00000000-0005-0000-0000-00001C000000}"/>
    <cellStyle name="Navadno 10 2 3" xfId="192" xr:uid="{00000000-0005-0000-0000-00001D000000}"/>
    <cellStyle name="Navadno 10 3" xfId="79" xr:uid="{00000000-0005-0000-0000-00001E000000}"/>
    <cellStyle name="Navadno 10 3 2" xfId="90" xr:uid="{00000000-0005-0000-0000-00001F000000}"/>
    <cellStyle name="Navadno 10 3 2 2" xfId="98" xr:uid="{00000000-0005-0000-0000-000020000000}"/>
    <cellStyle name="Navadno 10 3 2 3" xfId="99" xr:uid="{00000000-0005-0000-0000-000021000000}"/>
    <cellStyle name="Navadno 10 3 2 4" xfId="202" xr:uid="{00000000-0005-0000-0000-000022000000}"/>
    <cellStyle name="Navadno 10 3 3" xfId="100" xr:uid="{00000000-0005-0000-0000-000023000000}"/>
    <cellStyle name="Navadno 10 4" xfId="78" xr:uid="{00000000-0005-0000-0000-000024000000}"/>
    <cellStyle name="Navadno 10 5" xfId="101" xr:uid="{00000000-0005-0000-0000-000025000000}"/>
    <cellStyle name="Navadno 10 6" xfId="213" xr:uid="{00000000-0005-0000-0000-000026000000}"/>
    <cellStyle name="Navadno 10 7" xfId="218" xr:uid="{00000000-0005-0000-0000-000027000000}"/>
    <cellStyle name="Navadno 11" xfId="32" xr:uid="{00000000-0005-0000-0000-000028000000}"/>
    <cellStyle name="Navadno 11 2" xfId="33" xr:uid="{00000000-0005-0000-0000-000029000000}"/>
    <cellStyle name="Navadno 11 3" xfId="88" xr:uid="{00000000-0005-0000-0000-00002A000000}"/>
    <cellStyle name="Navadno 11 4" xfId="87" xr:uid="{00000000-0005-0000-0000-00002B000000}"/>
    <cellStyle name="Navadno 11 4 2" xfId="92" xr:uid="{00000000-0005-0000-0000-00002C000000}"/>
    <cellStyle name="Navadno 11 4 3" xfId="102" xr:uid="{00000000-0005-0000-0000-00002D000000}"/>
    <cellStyle name="Navadno 11 4 4" xfId="103" xr:uid="{00000000-0005-0000-0000-00002E000000}"/>
    <cellStyle name="Navadno 12" xfId="34" xr:uid="{00000000-0005-0000-0000-00002F000000}"/>
    <cellStyle name="Navadno 12 2" xfId="89" xr:uid="{00000000-0005-0000-0000-000030000000}"/>
    <cellStyle name="Navadno 12 2 2" xfId="104" xr:uid="{00000000-0005-0000-0000-000031000000}"/>
    <cellStyle name="Navadno 12 2 3" xfId="105" xr:uid="{00000000-0005-0000-0000-000032000000}"/>
    <cellStyle name="Navadno 13" xfId="94" xr:uid="{00000000-0005-0000-0000-000033000000}"/>
    <cellStyle name="Navadno 13 2" xfId="107" xr:uid="{00000000-0005-0000-0000-000034000000}"/>
    <cellStyle name="Navadno 13 3" xfId="108" xr:uid="{00000000-0005-0000-0000-000035000000}"/>
    <cellStyle name="Navadno 13 4" xfId="109" xr:uid="{00000000-0005-0000-0000-000036000000}"/>
    <cellStyle name="Navadno 13 5" xfId="110" xr:uid="{00000000-0005-0000-0000-000037000000}"/>
    <cellStyle name="Navadno 13 6" xfId="106" xr:uid="{00000000-0005-0000-0000-000038000000}"/>
    <cellStyle name="Navadno 14" xfId="93" xr:uid="{00000000-0005-0000-0000-000039000000}"/>
    <cellStyle name="Navadno 14 10" xfId="111" xr:uid="{00000000-0005-0000-0000-00003A000000}"/>
    <cellStyle name="Navadno 14 11" xfId="217" xr:uid="{00000000-0005-0000-0000-00003B000000}"/>
    <cellStyle name="Navadno 14 2" xfId="112" xr:uid="{00000000-0005-0000-0000-00003C000000}"/>
    <cellStyle name="Navadno 14 2 2" xfId="113" xr:uid="{00000000-0005-0000-0000-00003D000000}"/>
    <cellStyle name="Navadno 14 2 2 2" xfId="114" xr:uid="{00000000-0005-0000-0000-00003E000000}"/>
    <cellStyle name="Navadno 14 2 2 2 2" xfId="229" xr:uid="{00000000-0005-0000-0000-00003F000000}"/>
    <cellStyle name="Navadno 14 2 2 3" xfId="230" xr:uid="{00000000-0005-0000-0000-000040000000}"/>
    <cellStyle name="Navadno 14 2 3" xfId="115" xr:uid="{00000000-0005-0000-0000-000041000000}"/>
    <cellStyle name="Navadno 14 2 3 2" xfId="225" xr:uid="{00000000-0005-0000-0000-000042000000}"/>
    <cellStyle name="Navadno 14 2 4" xfId="116" xr:uid="{00000000-0005-0000-0000-000043000000}"/>
    <cellStyle name="Navadno 14 2 4 2" xfId="227" xr:uid="{00000000-0005-0000-0000-000044000000}"/>
    <cellStyle name="Navadno 14 2 5" xfId="231" xr:uid="{00000000-0005-0000-0000-000045000000}"/>
    <cellStyle name="Navadno 14 3" xfId="117" xr:uid="{00000000-0005-0000-0000-000046000000}"/>
    <cellStyle name="Navadno 14 3 2" xfId="118" xr:uid="{00000000-0005-0000-0000-000047000000}"/>
    <cellStyle name="Navadno 14 3 2 2" xfId="228" xr:uid="{00000000-0005-0000-0000-000048000000}"/>
    <cellStyle name="Navadno 14 3 3" xfId="223" xr:uid="{00000000-0005-0000-0000-000049000000}"/>
    <cellStyle name="Navadno 14 4" xfId="119" xr:uid="{00000000-0005-0000-0000-00004A000000}"/>
    <cellStyle name="Navadno 14 4 2" xfId="224" xr:uid="{00000000-0005-0000-0000-00004B000000}"/>
    <cellStyle name="Navadno 14 5" xfId="120" xr:uid="{00000000-0005-0000-0000-00004C000000}"/>
    <cellStyle name="Navadno 14 5 2" xfId="222" xr:uid="{00000000-0005-0000-0000-00004D000000}"/>
    <cellStyle name="Navadno 14 6" xfId="121" xr:uid="{00000000-0005-0000-0000-00004E000000}"/>
    <cellStyle name="Navadno 14 6 2" xfId="226" xr:uid="{00000000-0005-0000-0000-00004F000000}"/>
    <cellStyle name="Navadno 14 7" xfId="203" xr:uid="{00000000-0005-0000-0000-000050000000}"/>
    <cellStyle name="Navadno 14 7 2" xfId="232" xr:uid="{00000000-0005-0000-0000-000051000000}"/>
    <cellStyle name="Navadno 14 8" xfId="205" xr:uid="{00000000-0005-0000-0000-000052000000}"/>
    <cellStyle name="Navadno 14 8 2" xfId="233" xr:uid="{00000000-0005-0000-0000-000053000000}"/>
    <cellStyle name="Navadno 14 9" xfId="206" xr:uid="{00000000-0005-0000-0000-000054000000}"/>
    <cellStyle name="Navadno 14 9 2" xfId="234" xr:uid="{00000000-0005-0000-0000-000055000000}"/>
    <cellStyle name="Navadno 15" xfId="212" xr:uid="{00000000-0005-0000-0000-000056000000}"/>
    <cellStyle name="Navadno 15 2" xfId="219" xr:uid="{00000000-0005-0000-0000-000057000000}"/>
    <cellStyle name="Navadno 16" xfId="211" xr:uid="{00000000-0005-0000-0000-000058000000}"/>
    <cellStyle name="Navadno 16 2" xfId="210" xr:uid="{00000000-0005-0000-0000-000059000000}"/>
    <cellStyle name="Navadno 2" xfId="2" xr:uid="{00000000-0005-0000-0000-00005A000000}"/>
    <cellStyle name="Navadno 2 10" xfId="214" xr:uid="{00000000-0005-0000-0000-00005B000000}"/>
    <cellStyle name="Navadno 2 2" xfId="3" xr:uid="{00000000-0005-0000-0000-00005C000000}"/>
    <cellStyle name="Navadno 2 2 2" xfId="122" xr:uid="{00000000-0005-0000-0000-00005D000000}"/>
    <cellStyle name="Navadno 2 2 3" xfId="174" xr:uid="{00000000-0005-0000-0000-00005E000000}"/>
    <cellStyle name="Navadno 2 3" xfId="4" xr:uid="{00000000-0005-0000-0000-00005F000000}"/>
    <cellStyle name="Navadno 2 3 2" xfId="123" xr:uid="{00000000-0005-0000-0000-000060000000}"/>
    <cellStyle name="Navadno 2 3 3" xfId="175" xr:uid="{00000000-0005-0000-0000-000061000000}"/>
    <cellStyle name="Navadno 2 4" xfId="5" xr:uid="{00000000-0005-0000-0000-000062000000}"/>
    <cellStyle name="Navadno 2 4 2" xfId="124" xr:uid="{00000000-0005-0000-0000-000063000000}"/>
    <cellStyle name="Navadno 2 4 3" xfId="176" xr:uid="{00000000-0005-0000-0000-000064000000}"/>
    <cellStyle name="Navadno 2 5" xfId="6" xr:uid="{00000000-0005-0000-0000-000065000000}"/>
    <cellStyle name="Navadno 2 5 2" xfId="125" xr:uid="{00000000-0005-0000-0000-000066000000}"/>
    <cellStyle name="Navadno 2 5 3" xfId="177" xr:uid="{00000000-0005-0000-0000-000067000000}"/>
    <cellStyle name="Navadno 2 6" xfId="81" xr:uid="{00000000-0005-0000-0000-000068000000}"/>
    <cellStyle name="Navadno 2 6 2" xfId="126" xr:uid="{00000000-0005-0000-0000-000069000000}"/>
    <cellStyle name="Navadno 2 7" xfId="127" xr:uid="{00000000-0005-0000-0000-00006A000000}"/>
    <cellStyle name="Navadno 2 8" xfId="128" xr:uid="{00000000-0005-0000-0000-00006B000000}"/>
    <cellStyle name="Navadno 2 9" xfId="173" xr:uid="{00000000-0005-0000-0000-00006C000000}"/>
    <cellStyle name="Navadno 3" xfId="7" xr:uid="{00000000-0005-0000-0000-00006D000000}"/>
    <cellStyle name="Navadno 3 2" xfId="8" xr:uid="{00000000-0005-0000-0000-00006E000000}"/>
    <cellStyle name="Navadno 3 2 2" xfId="129" xr:uid="{00000000-0005-0000-0000-00006F000000}"/>
    <cellStyle name="Navadno 3 2 3" xfId="179" xr:uid="{00000000-0005-0000-0000-000070000000}"/>
    <cellStyle name="Navadno 3 3" xfId="25" xr:uid="{00000000-0005-0000-0000-000071000000}"/>
    <cellStyle name="Navadno 3 3 2" xfId="130" xr:uid="{00000000-0005-0000-0000-000072000000}"/>
    <cellStyle name="Navadno 3 3 3" xfId="193" xr:uid="{00000000-0005-0000-0000-000073000000}"/>
    <cellStyle name="Navadno 3 4" xfId="82" xr:uid="{00000000-0005-0000-0000-000074000000}"/>
    <cellStyle name="Navadno 3 5" xfId="131" xr:uid="{00000000-0005-0000-0000-000075000000}"/>
    <cellStyle name="Navadno 3 6" xfId="178" xr:uid="{00000000-0005-0000-0000-000076000000}"/>
    <cellStyle name="Navadno 3 7" xfId="209" xr:uid="{00000000-0005-0000-0000-000077000000}"/>
    <cellStyle name="Navadno 4" xfId="9" xr:uid="{00000000-0005-0000-0000-000078000000}"/>
    <cellStyle name="Navadno 4 2" xfId="10" xr:uid="{00000000-0005-0000-0000-000079000000}"/>
    <cellStyle name="Navadno 4 2 2" xfId="132" xr:uid="{00000000-0005-0000-0000-00007A000000}"/>
    <cellStyle name="Navadno 4 2 3" xfId="181" xr:uid="{00000000-0005-0000-0000-00007B000000}"/>
    <cellStyle name="Navadno 4 2 4" xfId="208" xr:uid="{00000000-0005-0000-0000-00007C000000}"/>
    <cellStyle name="Navadno 4 3" xfId="26" xr:uid="{00000000-0005-0000-0000-00007D000000}"/>
    <cellStyle name="Navadno 4 3 2" xfId="133" xr:uid="{00000000-0005-0000-0000-00007E000000}"/>
    <cellStyle name="Navadno 4 3 3" xfId="194" xr:uid="{00000000-0005-0000-0000-00007F000000}"/>
    <cellStyle name="Navadno 4 3 4" xfId="207" xr:uid="{00000000-0005-0000-0000-000080000000}"/>
    <cellStyle name="Navadno 4 4" xfId="134" xr:uid="{00000000-0005-0000-0000-000081000000}"/>
    <cellStyle name="Navadno 4 5" xfId="180" xr:uid="{00000000-0005-0000-0000-000082000000}"/>
    <cellStyle name="Navadno 5" xfId="11" xr:uid="{00000000-0005-0000-0000-000083000000}"/>
    <cellStyle name="Navadno 5 2" xfId="27" xr:uid="{00000000-0005-0000-0000-000084000000}"/>
    <cellStyle name="Navadno 5 2 2" xfId="135" xr:uid="{00000000-0005-0000-0000-000085000000}"/>
    <cellStyle name="Navadno 5 2 3" xfId="195" xr:uid="{00000000-0005-0000-0000-000086000000}"/>
    <cellStyle name="Navadno 5 3" xfId="83" xr:uid="{00000000-0005-0000-0000-000087000000}"/>
    <cellStyle name="Navadno 5 4" xfId="136" xr:uid="{00000000-0005-0000-0000-000088000000}"/>
    <cellStyle name="Navadno 5 5" xfId="182" xr:uid="{00000000-0005-0000-0000-000089000000}"/>
    <cellStyle name="Navadno 6" xfId="12" xr:uid="{00000000-0005-0000-0000-00008A000000}"/>
    <cellStyle name="Navadno 6 2" xfId="13" xr:uid="{00000000-0005-0000-0000-00008B000000}"/>
    <cellStyle name="Navadno 6 2 2" xfId="137" xr:uid="{00000000-0005-0000-0000-00008C000000}"/>
    <cellStyle name="Navadno 6 2 3" xfId="184" xr:uid="{00000000-0005-0000-0000-00008D000000}"/>
    <cellStyle name="Navadno 6 3" xfId="28" xr:uid="{00000000-0005-0000-0000-00008E000000}"/>
    <cellStyle name="Navadno 6 3 2" xfId="138" xr:uid="{00000000-0005-0000-0000-00008F000000}"/>
    <cellStyle name="Navadno 6 3 3" xfId="196" xr:uid="{00000000-0005-0000-0000-000090000000}"/>
    <cellStyle name="Navadno 6 4" xfId="84" xr:uid="{00000000-0005-0000-0000-000091000000}"/>
    <cellStyle name="Navadno 6 5" xfId="139" xr:uid="{00000000-0005-0000-0000-000092000000}"/>
    <cellStyle name="Navadno 6 6" xfId="183" xr:uid="{00000000-0005-0000-0000-000093000000}"/>
    <cellStyle name="Navadno 7" xfId="14" xr:uid="{00000000-0005-0000-0000-000094000000}"/>
    <cellStyle name="Navadno 7 2" xfId="140" xr:uid="{00000000-0005-0000-0000-000095000000}"/>
    <cellStyle name="Navadno 7 3" xfId="185" xr:uid="{00000000-0005-0000-0000-000096000000}"/>
    <cellStyle name="Navadno 8" xfId="15" xr:uid="{00000000-0005-0000-0000-000097000000}"/>
    <cellStyle name="Navadno 8 2" xfId="141" xr:uid="{00000000-0005-0000-0000-000098000000}"/>
    <cellStyle name="Navadno 8 3" xfId="186" xr:uid="{00000000-0005-0000-0000-000099000000}"/>
    <cellStyle name="Navadno 9" xfId="16" xr:uid="{00000000-0005-0000-0000-00009A000000}"/>
    <cellStyle name="Navadno 9 2" xfId="142" xr:uid="{00000000-0005-0000-0000-00009B000000}"/>
    <cellStyle name="Navadno 9 3" xfId="187" xr:uid="{00000000-0005-0000-0000-00009C000000}"/>
    <cellStyle name="Navadno_Energetika" xfId="237" xr:uid="{00000000-0005-0000-0000-00009D000000}"/>
    <cellStyle name="Navadno_Popis_LENA_LEVEC_PGD" xfId="238" xr:uid="{00000000-0005-0000-0000-00009E000000}"/>
    <cellStyle name="Navadno_POPISSIBKI_V2 2" xfId="239" xr:uid="{00000000-0005-0000-0000-00009F000000}"/>
    <cellStyle name="Navadno_Prazen popis1" xfId="236" xr:uid="{00000000-0005-0000-0000-0000A0000000}"/>
    <cellStyle name="Navadno_Prazen popis1 2" xfId="240" xr:uid="{00000000-0005-0000-0000-0000A1000000}"/>
    <cellStyle name="Navadno_TUS_Planet popis 2" xfId="235" xr:uid="{00000000-0005-0000-0000-0000A2000000}"/>
    <cellStyle name="Nevtralno 2" xfId="60" xr:uid="{00000000-0005-0000-0000-0000A3000000}"/>
    <cellStyle name="Normal_1.3.2" xfId="241" xr:uid="{00000000-0005-0000-0000-0000A4000000}"/>
    <cellStyle name="Odstotek 2" xfId="143" xr:uid="{00000000-0005-0000-0000-0000A5000000}"/>
    <cellStyle name="Odstotek 3" xfId="85" xr:uid="{00000000-0005-0000-0000-0000A6000000}"/>
    <cellStyle name="Odstotek 3 2" xfId="144" xr:uid="{00000000-0005-0000-0000-0000A7000000}"/>
    <cellStyle name="Odstotek 3 3" xfId="201" xr:uid="{00000000-0005-0000-0000-0000A8000000}"/>
    <cellStyle name="Opomba 2" xfId="61" xr:uid="{00000000-0005-0000-0000-0000A9000000}"/>
    <cellStyle name="Opomba 3" xfId="145" xr:uid="{00000000-0005-0000-0000-0000AA000000}"/>
    <cellStyle name="Opozorilo 2" xfId="62" xr:uid="{00000000-0005-0000-0000-0000AB000000}"/>
    <cellStyle name="Pojasnjevalno besedilo 2" xfId="63" xr:uid="{00000000-0005-0000-0000-0000AC000000}"/>
    <cellStyle name="Poudarek1 2" xfId="64" xr:uid="{00000000-0005-0000-0000-0000AD000000}"/>
    <cellStyle name="Poudarek2 2" xfId="65" xr:uid="{00000000-0005-0000-0000-0000AE000000}"/>
    <cellStyle name="Poudarek3 2" xfId="66" xr:uid="{00000000-0005-0000-0000-0000AF000000}"/>
    <cellStyle name="Poudarek4 2" xfId="67" xr:uid="{00000000-0005-0000-0000-0000B0000000}"/>
    <cellStyle name="Poudarek5 2" xfId="68" xr:uid="{00000000-0005-0000-0000-0000B1000000}"/>
    <cellStyle name="Poudarek6 2" xfId="69" xr:uid="{00000000-0005-0000-0000-0000B2000000}"/>
    <cellStyle name="Povezana celica 2" xfId="70" xr:uid="{00000000-0005-0000-0000-0000B3000000}"/>
    <cellStyle name="Preveri celico 2" xfId="71" xr:uid="{00000000-0005-0000-0000-0000B4000000}"/>
    <cellStyle name="Računanje 2" xfId="72" xr:uid="{00000000-0005-0000-0000-0000B5000000}"/>
    <cellStyle name="Slabo 2" xfId="73" xr:uid="{00000000-0005-0000-0000-0000B6000000}"/>
    <cellStyle name="Slog 1" xfId="74" xr:uid="{00000000-0005-0000-0000-0000B7000000}"/>
    <cellStyle name="Valuta" xfId="1" builtinId="4"/>
    <cellStyle name="Valuta 10" xfId="216" xr:uid="{00000000-0005-0000-0000-0000B9000000}"/>
    <cellStyle name="Valuta 11" xfId="215" xr:uid="{00000000-0005-0000-0000-0000BA000000}"/>
    <cellStyle name="Valuta 12" xfId="221" xr:uid="{00000000-0005-0000-0000-0000BB000000}"/>
    <cellStyle name="Valuta 2" xfId="17" xr:uid="{00000000-0005-0000-0000-0000BC000000}"/>
    <cellStyle name="Valuta 2 10" xfId="188" xr:uid="{00000000-0005-0000-0000-0000BD000000}"/>
    <cellStyle name="Valuta 2 2" xfId="30" xr:uid="{00000000-0005-0000-0000-0000BE000000}"/>
    <cellStyle name="Valuta 2 2 2" xfId="146" xr:uid="{00000000-0005-0000-0000-0000BF000000}"/>
    <cellStyle name="Valuta 2 2 2 2" xfId="147" xr:uid="{00000000-0005-0000-0000-0000C0000000}"/>
    <cellStyle name="Valuta 2 2 3" xfId="198" xr:uid="{00000000-0005-0000-0000-0000C1000000}"/>
    <cellStyle name="Valuta 2 3" xfId="148" xr:uid="{00000000-0005-0000-0000-0000C2000000}"/>
    <cellStyle name="Valuta 2 3 2" xfId="149" xr:uid="{00000000-0005-0000-0000-0000C3000000}"/>
    <cellStyle name="Valuta 2 4" xfId="150" xr:uid="{00000000-0005-0000-0000-0000C4000000}"/>
    <cellStyle name="Valuta 2 5" xfId="151" xr:uid="{00000000-0005-0000-0000-0000C5000000}"/>
    <cellStyle name="Valuta 2 6" xfId="152" xr:uid="{00000000-0005-0000-0000-0000C6000000}"/>
    <cellStyle name="Valuta 2 7" xfId="153" xr:uid="{00000000-0005-0000-0000-0000C7000000}"/>
    <cellStyle name="Valuta 2 8" xfId="154" xr:uid="{00000000-0005-0000-0000-0000C8000000}"/>
    <cellStyle name="Valuta 2 9" xfId="155" xr:uid="{00000000-0005-0000-0000-0000C9000000}"/>
    <cellStyle name="Valuta 3" xfId="18" xr:uid="{00000000-0005-0000-0000-0000CA000000}"/>
    <cellStyle name="Valuta 3 2" xfId="31" xr:uid="{00000000-0005-0000-0000-0000CB000000}"/>
    <cellStyle name="Valuta 3 2 2" xfId="156" xr:uid="{00000000-0005-0000-0000-0000CC000000}"/>
    <cellStyle name="Valuta 3 2 3" xfId="199" xr:uid="{00000000-0005-0000-0000-0000CD000000}"/>
    <cellStyle name="Valuta 3 3" xfId="157" xr:uid="{00000000-0005-0000-0000-0000CE000000}"/>
    <cellStyle name="Valuta 3 4" xfId="189" xr:uid="{00000000-0005-0000-0000-0000CF000000}"/>
    <cellStyle name="Valuta 3 5" xfId="96" xr:uid="{00000000-0005-0000-0000-0000D0000000}"/>
    <cellStyle name="Valuta 3 6" xfId="220" xr:uid="{00000000-0005-0000-0000-0000D1000000}"/>
    <cellStyle name="Valuta 4" xfId="19" xr:uid="{00000000-0005-0000-0000-0000D2000000}"/>
    <cellStyle name="Valuta 4 2" xfId="22" xr:uid="{00000000-0005-0000-0000-0000D3000000}"/>
    <cellStyle name="Valuta 4 2 2" xfId="91" xr:uid="{00000000-0005-0000-0000-0000D4000000}"/>
    <cellStyle name="Valuta 4 2 2 2" xfId="158" xr:uid="{00000000-0005-0000-0000-0000D5000000}"/>
    <cellStyle name="Valuta 4 2 2 2 2" xfId="159" xr:uid="{00000000-0005-0000-0000-0000D6000000}"/>
    <cellStyle name="Valuta 4 2 3" xfId="160" xr:uid="{00000000-0005-0000-0000-0000D7000000}"/>
    <cellStyle name="Valuta 4 3" xfId="77" xr:uid="{00000000-0005-0000-0000-0000D8000000}"/>
    <cellStyle name="Valuta 4 3 2" xfId="80" xr:uid="{00000000-0005-0000-0000-0000D9000000}"/>
    <cellStyle name="Valuta 4 3 2 2" xfId="161" xr:uid="{00000000-0005-0000-0000-0000DA000000}"/>
    <cellStyle name="Valuta 4 3 2 3" xfId="200" xr:uid="{00000000-0005-0000-0000-0000DB000000}"/>
    <cellStyle name="Valuta 4 3 3" xfId="162" xr:uid="{00000000-0005-0000-0000-0000DC000000}"/>
    <cellStyle name="Valuta 4 3 3 2" xfId="163" xr:uid="{00000000-0005-0000-0000-0000DD000000}"/>
    <cellStyle name="Valuta 4 3 4" xfId="164" xr:uid="{00000000-0005-0000-0000-0000DE000000}"/>
    <cellStyle name="Valuta 4 4" xfId="165" xr:uid="{00000000-0005-0000-0000-0000DF000000}"/>
    <cellStyle name="Valuta 4 4 2" xfId="166" xr:uid="{00000000-0005-0000-0000-0000E0000000}"/>
    <cellStyle name="Valuta 4 5" xfId="167" xr:uid="{00000000-0005-0000-0000-0000E1000000}"/>
    <cellStyle name="Valuta 5" xfId="23" xr:uid="{00000000-0005-0000-0000-0000E2000000}"/>
    <cellStyle name="Valuta 5 2" xfId="168" xr:uid="{00000000-0005-0000-0000-0000E3000000}"/>
    <cellStyle name="Valuta 5 3" xfId="191" xr:uid="{00000000-0005-0000-0000-0000E4000000}"/>
    <cellStyle name="Valuta 6" xfId="95" xr:uid="{00000000-0005-0000-0000-0000E5000000}"/>
    <cellStyle name="Valuta 6 2" xfId="204" xr:uid="{00000000-0005-0000-0000-0000E6000000}"/>
    <cellStyle name="Valuta 7" xfId="169" xr:uid="{00000000-0005-0000-0000-0000E7000000}"/>
    <cellStyle name="Valuta 8" xfId="170" xr:uid="{00000000-0005-0000-0000-0000E8000000}"/>
    <cellStyle name="Valuta 9" xfId="29" xr:uid="{00000000-0005-0000-0000-0000E9000000}"/>
    <cellStyle name="Valuta 9 2" xfId="171" xr:uid="{00000000-0005-0000-0000-0000EA000000}"/>
    <cellStyle name="Valuta 9 3" xfId="197" xr:uid="{00000000-0005-0000-0000-0000EB000000}"/>
    <cellStyle name="Vejica 2" xfId="21" xr:uid="{00000000-0005-0000-0000-0000EC000000}"/>
    <cellStyle name="Vejica 2 2" xfId="86" xr:uid="{00000000-0005-0000-0000-0000ED000000}"/>
    <cellStyle name="Vejica 2 3" xfId="172" xr:uid="{00000000-0005-0000-0000-0000EE000000}"/>
    <cellStyle name="Vejica 2 4" xfId="190" xr:uid="{00000000-0005-0000-0000-0000EF000000}"/>
    <cellStyle name="Vnos 2" xfId="75" xr:uid="{00000000-0005-0000-0000-0000F0000000}"/>
    <cellStyle name="Vsota 2" xfId="76" xr:uid="{00000000-0005-0000-0000-0000F100000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oneCellAnchor>
    <xdr:from>
      <xdr:col>1</xdr:col>
      <xdr:colOff>2238375</xdr:colOff>
      <xdr:row>1</xdr:row>
      <xdr:rowOff>161925</xdr:rowOff>
    </xdr:from>
    <xdr:ext cx="184731" cy="264560"/>
    <xdr:sp macro="" textlink="">
      <xdr:nvSpPr>
        <xdr:cNvPr id="2" name="PoljeZBesedilom 1">
          <a:extLst>
            <a:ext uri="{FF2B5EF4-FFF2-40B4-BE49-F238E27FC236}">
              <a16:creationId xmlns:a16="http://schemas.microsoft.com/office/drawing/2014/main" id="{9DCD1C35-935A-420D-A345-E98462BFE456}"/>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2238375</xdr:colOff>
      <xdr:row>1</xdr:row>
      <xdr:rowOff>0</xdr:rowOff>
    </xdr:from>
    <xdr:ext cx="184731" cy="264560"/>
    <xdr:sp macro="" textlink="">
      <xdr:nvSpPr>
        <xdr:cNvPr id="2" name="PoljeZBesedilom 1">
          <a:extLst>
            <a:ext uri="{FF2B5EF4-FFF2-40B4-BE49-F238E27FC236}">
              <a16:creationId xmlns:a16="http://schemas.microsoft.com/office/drawing/2014/main" id="{33BD47B1-565C-4B88-A10D-7C2F0F175FE5}"/>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view="pageBreakPreview" zoomScaleNormal="100" zoomScaleSheetLayoutView="100" workbookViewId="0">
      <selection activeCell="F22" sqref="F22"/>
    </sheetView>
  </sheetViews>
  <sheetFormatPr defaultRowHeight="12.75"/>
  <cols>
    <col min="1" max="1" width="4.42578125" style="1" customWidth="1"/>
    <col min="2" max="2" width="40.7109375" style="4" customWidth="1"/>
    <col min="3" max="3" width="5.5703125" style="215" customWidth="1"/>
    <col min="4" max="4" width="7.7109375" style="2" customWidth="1"/>
    <col min="5" max="5" width="14.42578125" style="4" customWidth="1"/>
    <col min="6" max="6" width="20.7109375" style="4" customWidth="1"/>
    <col min="7" max="7" width="4.28515625" style="4" customWidth="1"/>
    <col min="8" max="8" width="37.7109375" style="4" customWidth="1"/>
    <col min="9" max="9" width="19.7109375" style="4" customWidth="1"/>
    <col min="10" max="10" width="7.7109375" style="4" customWidth="1"/>
    <col min="11" max="11" width="15" style="4" customWidth="1"/>
    <col min="12" max="12" width="18.5703125" style="4" customWidth="1"/>
    <col min="13" max="16384" width="9.140625" style="4"/>
  </cols>
  <sheetData>
    <row r="1" spans="1:6" ht="61.5" customHeight="1">
      <c r="B1" s="553" t="s">
        <v>634</v>
      </c>
      <c r="C1" s="553"/>
      <c r="D1" s="553"/>
      <c r="E1" s="553"/>
      <c r="F1" s="553"/>
    </row>
    <row r="2" spans="1:6" ht="16.5">
      <c r="B2" s="554"/>
      <c r="C2" s="555"/>
      <c r="D2" s="555"/>
      <c r="E2" s="555"/>
      <c r="F2" s="555"/>
    </row>
    <row r="3" spans="1:6" ht="15">
      <c r="A3" s="98"/>
      <c r="B3" s="99"/>
      <c r="C3" s="100"/>
      <c r="D3" s="101"/>
      <c r="E3" s="99"/>
      <c r="F3" s="99"/>
    </row>
    <row r="4" spans="1:6" ht="16.5" thickBot="1">
      <c r="A4" s="102"/>
      <c r="B4" s="103" t="s">
        <v>13</v>
      </c>
      <c r="C4" s="104"/>
      <c r="D4" s="105"/>
      <c r="E4" s="106"/>
      <c r="F4" s="106"/>
    </row>
    <row r="5" spans="1:6" s="8" customFormat="1" ht="17.25" thickTop="1" thickBot="1">
      <c r="A5" s="107"/>
      <c r="B5" s="108" t="s">
        <v>50</v>
      </c>
      <c r="C5" s="109"/>
      <c r="D5" s="110"/>
      <c r="E5" s="111"/>
      <c r="F5" s="92"/>
    </row>
    <row r="6" spans="1:6" ht="20.25" customHeight="1">
      <c r="A6" s="93"/>
      <c r="B6" s="94" t="s">
        <v>116</v>
      </c>
      <c r="C6" s="95"/>
      <c r="D6" s="96"/>
      <c r="E6" s="97"/>
      <c r="F6" s="3">
        <f>'PRIPRAVLJALNA DELA'!F7</f>
        <v>0</v>
      </c>
    </row>
    <row r="7" spans="1:6" ht="20.25" customHeight="1">
      <c r="A7" s="93"/>
      <c r="B7" s="94" t="s">
        <v>390</v>
      </c>
      <c r="C7" s="95"/>
      <c r="D7" s="96"/>
      <c r="E7" s="97"/>
      <c r="F7" s="3">
        <f>'ŠTORE 01-1'!F106</f>
        <v>0</v>
      </c>
    </row>
    <row r="8" spans="1:6" ht="20.25" customHeight="1">
      <c r="A8" s="93"/>
      <c r="B8" s="94" t="s">
        <v>392</v>
      </c>
      <c r="C8" s="95"/>
      <c r="D8" s="96"/>
      <c r="E8" s="97"/>
      <c r="F8" s="3">
        <f>'ŠTORE 01-1.1'!F83</f>
        <v>0</v>
      </c>
    </row>
    <row r="9" spans="1:6" ht="20.25" customHeight="1">
      <c r="A9" s="93"/>
      <c r="B9" s="94" t="s">
        <v>395</v>
      </c>
      <c r="C9" s="95"/>
      <c r="D9" s="96"/>
      <c r="E9" s="97"/>
      <c r="F9" s="3">
        <f>'ŠTORE 01-1.2'!F69</f>
        <v>0</v>
      </c>
    </row>
    <row r="10" spans="1:6" ht="20.25" customHeight="1">
      <c r="A10" s="93"/>
      <c r="B10" s="94" t="s">
        <v>396</v>
      </c>
      <c r="C10" s="95"/>
      <c r="D10" s="96"/>
      <c r="E10" s="97"/>
      <c r="F10" s="3">
        <f>'ŠTORE 01-1.3'!F79</f>
        <v>0</v>
      </c>
    </row>
    <row r="11" spans="1:6" ht="20.25" customHeight="1">
      <c r="A11" s="93"/>
      <c r="B11" s="94" t="s">
        <v>397</v>
      </c>
      <c r="C11" s="95"/>
      <c r="D11" s="96"/>
      <c r="E11" s="97"/>
      <c r="F11" s="3">
        <f>'ŠTORE 01-1.4'!F70</f>
        <v>0</v>
      </c>
    </row>
    <row r="12" spans="1:6" ht="20.25" customHeight="1">
      <c r="A12" s="93"/>
      <c r="B12" s="94" t="s">
        <v>400</v>
      </c>
      <c r="C12" s="95"/>
      <c r="D12" s="96"/>
      <c r="E12" s="97"/>
      <c r="F12" s="3">
        <f>'ŠTORE 01-2'!F79</f>
        <v>0</v>
      </c>
    </row>
    <row r="13" spans="1:6" ht="20.25" customHeight="1">
      <c r="A13" s="93"/>
      <c r="B13" s="94" t="s">
        <v>405</v>
      </c>
      <c r="C13" s="95"/>
      <c r="D13" s="96"/>
      <c r="E13" s="97"/>
      <c r="F13" s="3">
        <f>'ŠTORE 01-2.1'!F66</f>
        <v>0</v>
      </c>
    </row>
    <row r="14" spans="1:6" ht="20.25" customHeight="1">
      <c r="A14" s="93"/>
      <c r="B14" s="94" t="s">
        <v>406</v>
      </c>
      <c r="C14" s="95"/>
      <c r="D14" s="96"/>
      <c r="E14" s="97"/>
      <c r="F14" s="3">
        <f>'ŠTORE 01-2.1.1'!F65</f>
        <v>0</v>
      </c>
    </row>
    <row r="15" spans="1:6" ht="20.25" customHeight="1">
      <c r="A15" s="93"/>
      <c r="B15" s="94" t="s">
        <v>407</v>
      </c>
      <c r="C15" s="95"/>
      <c r="D15" s="96"/>
      <c r="E15" s="97"/>
      <c r="F15" s="3">
        <f>'ŠTORE 01-3'!F73</f>
        <v>0</v>
      </c>
    </row>
    <row r="16" spans="1:6" ht="20.25" customHeight="1">
      <c r="A16" s="93"/>
      <c r="B16" s="94" t="s">
        <v>408</v>
      </c>
      <c r="C16" s="95"/>
      <c r="D16" s="96"/>
      <c r="E16" s="97"/>
      <c r="F16" s="3">
        <f>'ŠTORE 01-3.1'!F67</f>
        <v>0</v>
      </c>
    </row>
    <row r="17" spans="1:6" ht="20.25" customHeight="1">
      <c r="A17" s="93"/>
      <c r="B17" s="94" t="s">
        <v>409</v>
      </c>
      <c r="C17" s="95"/>
      <c r="D17" s="96"/>
      <c r="E17" s="97"/>
      <c r="F17" s="3">
        <f>'ŠTORE 01-3.2'!F55</f>
        <v>0</v>
      </c>
    </row>
    <row r="18" spans="1:6" ht="20.25" customHeight="1">
      <c r="A18" s="93"/>
      <c r="B18" s="94" t="s">
        <v>410</v>
      </c>
      <c r="C18" s="95"/>
      <c r="D18" s="96"/>
      <c r="E18" s="97"/>
      <c r="F18" s="3">
        <f>'ŠTORE 01-3.3'!F70</f>
        <v>0</v>
      </c>
    </row>
    <row r="19" spans="1:6" ht="20.25" customHeight="1">
      <c r="A19" s="93"/>
      <c r="B19" s="94" t="s">
        <v>415</v>
      </c>
      <c r="C19" s="95"/>
      <c r="D19" s="96"/>
      <c r="E19" s="97"/>
      <c r="F19" s="3">
        <f>'ŠTORE 01-T2'!F74</f>
        <v>0</v>
      </c>
    </row>
    <row r="20" spans="1:6" ht="20.25" customHeight="1">
      <c r="A20" s="93"/>
      <c r="B20" s="94" t="s">
        <v>417</v>
      </c>
      <c r="C20" s="95"/>
      <c r="D20" s="96"/>
      <c r="E20" s="97"/>
      <c r="F20" s="3">
        <f>Č1!F178</f>
        <v>0</v>
      </c>
    </row>
    <row r="21" spans="1:6" ht="20.25" customHeight="1">
      <c r="A21" s="93"/>
      <c r="B21" s="94" t="s">
        <v>418</v>
      </c>
      <c r="C21" s="95"/>
      <c r="D21" s="96"/>
      <c r="E21" s="97"/>
      <c r="F21" s="3">
        <f>Č2!F166</f>
        <v>0</v>
      </c>
    </row>
    <row r="22" spans="1:6" ht="20.25" customHeight="1">
      <c r="A22" s="93"/>
      <c r="B22" s="94" t="s">
        <v>419</v>
      </c>
      <c r="C22" s="95"/>
      <c r="D22" s="96"/>
      <c r="E22" s="97"/>
      <c r="F22" s="455">
        <f>'Č1 elektrooprema'!F139</f>
        <v>0</v>
      </c>
    </row>
    <row r="23" spans="1:6" ht="20.25" customHeight="1">
      <c r="A23" s="93"/>
      <c r="B23" s="94" t="s">
        <v>420</v>
      </c>
      <c r="C23" s="95"/>
      <c r="D23" s="96"/>
      <c r="E23" s="97"/>
      <c r="F23" s="3">
        <f>'Č1 NN priključek'!F87</f>
        <v>0</v>
      </c>
    </row>
    <row r="24" spans="1:6" ht="20.25" customHeight="1">
      <c r="A24" s="93"/>
      <c r="B24" s="94" t="s">
        <v>422</v>
      </c>
      <c r="C24" s="95"/>
      <c r="D24" s="96"/>
      <c r="E24" s="97"/>
      <c r="F24" s="455">
        <f>'Č2 elekrooprema'!F139</f>
        <v>0</v>
      </c>
    </row>
    <row r="25" spans="1:6" ht="20.25" customHeight="1">
      <c r="A25" s="93"/>
      <c r="B25" s="94" t="s">
        <v>423</v>
      </c>
      <c r="C25" s="95"/>
      <c r="D25" s="96"/>
      <c r="E25" s="97"/>
      <c r="F25" s="3">
        <f>'Č2 NN priključek'!F70</f>
        <v>0</v>
      </c>
    </row>
    <row r="26" spans="1:6" ht="20.25" customHeight="1">
      <c r="A26" s="93"/>
      <c r="B26" s="94" t="s">
        <v>421</v>
      </c>
      <c r="C26" s="95"/>
      <c r="D26" s="96"/>
      <c r="E26" s="97"/>
      <c r="F26" s="3">
        <f>'ZAKLJUCNA DELA'!F7</f>
        <v>0</v>
      </c>
    </row>
    <row r="27" spans="1:6" ht="15.75" thickBot="1">
      <c r="A27" s="185"/>
      <c r="B27" s="186"/>
      <c r="C27" s="187"/>
      <c r="D27" s="188"/>
      <c r="E27" s="189"/>
      <c r="F27" s="190"/>
    </row>
    <row r="28" spans="1:6" ht="16.5" thickBot="1">
      <c r="A28" s="5"/>
      <c r="B28" s="6" t="s">
        <v>49</v>
      </c>
      <c r="C28" s="112"/>
      <c r="D28" s="113"/>
      <c r="E28" s="114"/>
      <c r="F28" s="7">
        <f>SUM(F6:F26)</f>
        <v>0</v>
      </c>
    </row>
    <row r="29" spans="1:6" ht="21" customHeight="1" thickBot="1">
      <c r="A29" s="274"/>
      <c r="B29" s="275" t="s">
        <v>95</v>
      </c>
      <c r="C29" s="276"/>
      <c r="D29" s="277"/>
      <c r="E29" s="278"/>
      <c r="F29" s="279">
        <f>F28*10%</f>
        <v>0</v>
      </c>
    </row>
    <row r="30" spans="1:6" ht="21" customHeight="1" thickBot="1">
      <c r="A30" s="274"/>
      <c r="B30" s="275" t="s">
        <v>15</v>
      </c>
      <c r="C30" s="276"/>
      <c r="D30" s="277"/>
      <c r="E30" s="278"/>
      <c r="F30" s="279">
        <f>SUM(F28:F29)</f>
        <v>0</v>
      </c>
    </row>
    <row r="31" spans="1:6" ht="21" customHeight="1" thickBot="1">
      <c r="A31" s="274"/>
      <c r="B31" s="275" t="s">
        <v>14</v>
      </c>
      <c r="C31" s="276"/>
      <c r="D31" s="277"/>
      <c r="E31" s="278"/>
      <c r="F31" s="279">
        <f>F30*22%</f>
        <v>0</v>
      </c>
    </row>
    <row r="32" spans="1:6" ht="21" customHeight="1" thickBot="1">
      <c r="A32" s="274"/>
      <c r="B32" s="275" t="s">
        <v>27</v>
      </c>
      <c r="C32" s="276"/>
      <c r="D32" s="277"/>
      <c r="E32" s="278"/>
      <c r="F32" s="279">
        <f>F31+F30</f>
        <v>0</v>
      </c>
    </row>
    <row r="33" spans="1:6" ht="15">
      <c r="A33" s="98"/>
      <c r="B33" s="99"/>
      <c r="C33" s="100"/>
      <c r="D33" s="101"/>
      <c r="E33" s="99"/>
      <c r="F33" s="115"/>
    </row>
    <row r="34" spans="1:6">
      <c r="B34" s="280"/>
    </row>
    <row r="35" spans="1:6" ht="42" customHeight="1">
      <c r="A35" s="550" t="s">
        <v>17</v>
      </c>
      <c r="B35" s="551"/>
      <c r="C35" s="551"/>
      <c r="D35" s="551"/>
      <c r="E35" s="551"/>
      <c r="F35" s="552"/>
    </row>
    <row r="36" spans="1:6" ht="43.5" customHeight="1">
      <c r="A36" s="547" t="s">
        <v>18</v>
      </c>
      <c r="B36" s="548"/>
      <c r="C36" s="548"/>
      <c r="D36" s="548"/>
      <c r="E36" s="548"/>
      <c r="F36" s="549"/>
    </row>
    <row r="37" spans="1:6" ht="153.75" customHeight="1">
      <c r="A37" s="547" t="s">
        <v>19</v>
      </c>
      <c r="B37" s="548"/>
      <c r="C37" s="548"/>
      <c r="D37" s="548"/>
      <c r="E37" s="548"/>
      <c r="F37" s="549"/>
    </row>
    <row r="38" spans="1:6" ht="48.75" customHeight="1">
      <c r="A38" s="556" t="s">
        <v>637</v>
      </c>
      <c r="B38" s="557"/>
      <c r="C38" s="557"/>
      <c r="D38" s="557"/>
      <c r="E38" s="557"/>
      <c r="F38" s="558"/>
    </row>
    <row r="39" spans="1:6" ht="40.5" customHeight="1">
      <c r="A39" s="556" t="s">
        <v>638</v>
      </c>
      <c r="B39" s="557"/>
      <c r="C39" s="557"/>
      <c r="D39" s="557"/>
      <c r="E39" s="557"/>
      <c r="F39" s="558"/>
    </row>
    <row r="40" spans="1:6" ht="27.75" customHeight="1">
      <c r="A40" s="547" t="s">
        <v>20</v>
      </c>
      <c r="B40" s="548"/>
      <c r="C40" s="548"/>
      <c r="D40" s="548"/>
      <c r="E40" s="548"/>
      <c r="F40" s="549"/>
    </row>
  </sheetData>
  <sheetProtection algorithmName="SHA-512" hashValue="QZu3LrRvw4cP7FWPXHuaPivy2aMuDRNXNw3Gzk6mEUdh76iDwdcGInc1pPVyBcOmckDKIZXstrjLZOznqKo9+g==" saltValue="iDcPl93DmgOUTUxjTZ6FGA==" spinCount="100000" sheet="1" objects="1" scenarios="1"/>
  <mergeCells count="8">
    <mergeCell ref="A36:F36"/>
    <mergeCell ref="A37:F37"/>
    <mergeCell ref="A40:F40"/>
    <mergeCell ref="A35:F35"/>
    <mergeCell ref="B1:F1"/>
    <mergeCell ref="B2:F2"/>
    <mergeCell ref="A38:F38"/>
    <mergeCell ref="A39:F39"/>
  </mergeCells>
  <phoneticPr fontId="0" type="noConversion"/>
  <pageMargins left="0.70866141732283472" right="0.70866141732283472" top="0.74803149606299213" bottom="0.74803149606299213" header="0.31496062992125984" footer="0.31496062992125984"/>
  <pageSetup paperSize="9" orientation="portrait" r:id="rId1"/>
  <headerFooter alignWithMargins="0">
    <oddHeader>&amp;LSAVINJAPROJEKT d.o.o.&amp;R&amp;8
Št. proj.: 56/2016</oddHeader>
    <oddFooter>&amp;C&amp;8&amp;P/&amp;N&amp;R&amp;9REKAPITULACIJA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G67"/>
  <sheetViews>
    <sheetView view="pageBreakPreview" topLeftCell="A49" zoomScaleNormal="100" zoomScaleSheetLayoutView="100" workbookViewId="0">
      <selection activeCell="E55" activeCellId="8" sqref="E5:E9 E15:E16 E18:E19 E21 E22:E36 E41:E42 E44:E48 E49:E50 E55:E62"/>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404</v>
      </c>
      <c r="B1" s="178" t="s">
        <v>160</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80</v>
      </c>
      <c r="E5" s="512"/>
      <c r="F5" s="23">
        <f t="shared" ref="F5:F9" si="0">D5*E5</f>
        <v>0</v>
      </c>
    </row>
    <row r="6" spans="1:6" ht="25.5">
      <c r="A6" s="85" t="s">
        <v>55</v>
      </c>
      <c r="B6" s="24" t="s">
        <v>28</v>
      </c>
      <c r="C6" s="21" t="s">
        <v>6</v>
      </c>
      <c r="D6" s="22">
        <f>1+4+2</f>
        <v>7</v>
      </c>
      <c r="E6" s="512"/>
      <c r="F6" s="23">
        <f t="shared" si="0"/>
        <v>0</v>
      </c>
    </row>
    <row r="7" spans="1:6" ht="38.25">
      <c r="A7" s="85" t="s">
        <v>56</v>
      </c>
      <c r="B7" s="25" t="s">
        <v>120</v>
      </c>
      <c r="C7" s="21" t="s">
        <v>9</v>
      </c>
      <c r="D7" s="22">
        <v>22</v>
      </c>
      <c r="E7" s="512"/>
      <c r="F7" s="23">
        <f t="shared" si="0"/>
        <v>0</v>
      </c>
    </row>
    <row r="8" spans="1:6" ht="38.25">
      <c r="A8" s="84" t="s">
        <v>57</v>
      </c>
      <c r="B8" s="20" t="s">
        <v>53</v>
      </c>
      <c r="C8" s="26" t="s">
        <v>48</v>
      </c>
      <c r="D8" s="22">
        <f>120+110</f>
        <v>230</v>
      </c>
      <c r="E8" s="512"/>
      <c r="F8" s="23">
        <f t="shared" si="0"/>
        <v>0</v>
      </c>
    </row>
    <row r="9" spans="1:6" ht="39" thickBot="1">
      <c r="A9" s="84" t="s">
        <v>58</v>
      </c>
      <c r="B9" s="20" t="s">
        <v>83</v>
      </c>
      <c r="C9" s="21" t="s">
        <v>47</v>
      </c>
      <c r="D9" s="22">
        <v>5</v>
      </c>
      <c r="E9" s="512"/>
      <c r="F9" s="23">
        <f t="shared" si="0"/>
        <v>0</v>
      </c>
    </row>
    <row r="10" spans="1:6" ht="15" thickBot="1">
      <c r="A10" s="116" t="s">
        <v>34</v>
      </c>
      <c r="B10" s="28" t="s">
        <v>12</v>
      </c>
      <c r="C10" s="29"/>
      <c r="D10" s="30"/>
      <c r="E10" s="65"/>
      <c r="F10" s="117">
        <f>SUM(F5:F9)</f>
        <v>0</v>
      </c>
    </row>
    <row r="11" spans="1:6" ht="15" thickBot="1">
      <c r="A11" s="86"/>
      <c r="B11" s="31"/>
      <c r="C11" s="32"/>
      <c r="D11" s="33"/>
      <c r="E11" s="66"/>
      <c r="F11" s="67"/>
    </row>
    <row r="12" spans="1:6" ht="15" thickBot="1">
      <c r="A12" s="87"/>
      <c r="B12" s="34" t="s">
        <v>35</v>
      </c>
      <c r="C12" s="35"/>
      <c r="D12" s="36"/>
      <c r="E12" s="68"/>
      <c r="F12" s="69"/>
    </row>
    <row r="13" spans="1:6" ht="51">
      <c r="A13" s="88"/>
      <c r="B13" s="37" t="s">
        <v>52</v>
      </c>
      <c r="C13" s="38"/>
      <c r="D13" s="39"/>
      <c r="E13" s="70"/>
      <c r="F13" s="71"/>
    </row>
    <row r="14" spans="1:6" ht="38.25">
      <c r="A14" s="84"/>
      <c r="B14" s="40" t="s">
        <v>25</v>
      </c>
      <c r="C14" s="21"/>
      <c r="D14" s="22"/>
      <c r="E14" s="27"/>
      <c r="F14" s="23"/>
    </row>
    <row r="15" spans="1:6" ht="25.5">
      <c r="A15" s="85" t="s">
        <v>54</v>
      </c>
      <c r="B15" s="135" t="s">
        <v>102</v>
      </c>
      <c r="C15" s="21" t="s">
        <v>47</v>
      </c>
      <c r="D15" s="22">
        <f>(150+90)*0.3</f>
        <v>72</v>
      </c>
      <c r="E15" s="512"/>
      <c r="F15" s="23">
        <f>D15*E15</f>
        <v>0</v>
      </c>
    </row>
    <row r="16" spans="1:6">
      <c r="A16" s="85" t="s">
        <v>55</v>
      </c>
      <c r="B16" s="20" t="s">
        <v>43</v>
      </c>
      <c r="C16" s="21" t="s">
        <v>47</v>
      </c>
      <c r="D16" s="22">
        <v>6</v>
      </c>
      <c r="E16" s="512"/>
      <c r="F16" s="23">
        <f>D16*E16</f>
        <v>0</v>
      </c>
    </row>
    <row r="17" spans="1:6" ht="51">
      <c r="A17" s="128" t="s">
        <v>56</v>
      </c>
      <c r="B17" s="145" t="s">
        <v>152</v>
      </c>
      <c r="C17" s="196"/>
      <c r="D17" s="197"/>
      <c r="E17" s="146"/>
      <c r="F17" s="147"/>
    </row>
    <row r="18" spans="1:6">
      <c r="A18" s="84"/>
      <c r="B18" s="198" t="s">
        <v>77</v>
      </c>
      <c r="C18" s="38" t="s">
        <v>47</v>
      </c>
      <c r="D18" s="39">
        <f>139.8*0.9</f>
        <v>125.82000000000001</v>
      </c>
      <c r="E18" s="515"/>
      <c r="F18" s="148">
        <f>D18*E18</f>
        <v>0</v>
      </c>
    </row>
    <row r="19" spans="1:6">
      <c r="A19" s="84"/>
      <c r="B19" s="198" t="s">
        <v>76</v>
      </c>
      <c r="C19" s="38" t="s">
        <v>47</v>
      </c>
      <c r="D19" s="39">
        <v>2.1800000000000002</v>
      </c>
      <c r="E19" s="515"/>
      <c r="F19" s="148">
        <f>D19*E19</f>
        <v>0</v>
      </c>
    </row>
    <row r="20" spans="1:6" ht="38.25">
      <c r="A20" s="128" t="s">
        <v>57</v>
      </c>
      <c r="B20" s="145" t="s">
        <v>155</v>
      </c>
      <c r="C20" s="196"/>
      <c r="D20" s="197"/>
      <c r="E20" s="146"/>
      <c r="F20" s="147"/>
    </row>
    <row r="21" spans="1:6">
      <c r="A21" s="199"/>
      <c r="B21" s="200" t="s">
        <v>77</v>
      </c>
      <c r="C21" s="201" t="s">
        <v>47</v>
      </c>
      <c r="D21" s="202">
        <f>150*0.25</f>
        <v>37.5</v>
      </c>
      <c r="E21" s="516"/>
      <c r="F21" s="149">
        <f>D21*E21</f>
        <v>0</v>
      </c>
    </row>
    <row r="22" spans="1:6" ht="38.25">
      <c r="A22" s="85" t="s">
        <v>58</v>
      </c>
      <c r="B22" s="145" t="s">
        <v>79</v>
      </c>
      <c r="C22" s="21" t="s">
        <v>47</v>
      </c>
      <c r="D22" s="202">
        <f>139.8*0.1</f>
        <v>13.980000000000002</v>
      </c>
      <c r="E22" s="517"/>
      <c r="F22" s="41">
        <f>D22*E22</f>
        <v>0</v>
      </c>
    </row>
    <row r="23" spans="1:6" ht="38.25">
      <c r="A23" s="85" t="s">
        <v>59</v>
      </c>
      <c r="B23" s="176" t="s">
        <v>29</v>
      </c>
      <c r="C23" s="21" t="s">
        <v>48</v>
      </c>
      <c r="D23" s="22">
        <f>80*2*1.7</f>
        <v>272</v>
      </c>
      <c r="E23" s="518"/>
      <c r="F23" s="41">
        <f t="shared" ref="F23:F36" si="1">D23*E23</f>
        <v>0</v>
      </c>
    </row>
    <row r="24" spans="1:6" ht="63.75">
      <c r="A24" s="85" t="s">
        <v>60</v>
      </c>
      <c r="B24" s="20" t="s">
        <v>73</v>
      </c>
      <c r="C24" s="21" t="s">
        <v>6</v>
      </c>
      <c r="D24" s="22">
        <v>4</v>
      </c>
      <c r="E24" s="518"/>
      <c r="F24" s="41">
        <f t="shared" si="1"/>
        <v>0</v>
      </c>
    </row>
    <row r="25" spans="1:6" ht="25.5">
      <c r="A25" s="85" t="s">
        <v>61</v>
      </c>
      <c r="B25" s="176" t="s">
        <v>44</v>
      </c>
      <c r="C25" s="26" t="s">
        <v>48</v>
      </c>
      <c r="D25" s="22">
        <f>80*0.9</f>
        <v>72</v>
      </c>
      <c r="E25" s="512"/>
      <c r="F25" s="41">
        <f t="shared" si="1"/>
        <v>0</v>
      </c>
    </row>
    <row r="26" spans="1:6" ht="51">
      <c r="A26" s="85" t="s">
        <v>62</v>
      </c>
      <c r="B26" s="135" t="s">
        <v>85</v>
      </c>
      <c r="C26" s="21" t="s">
        <v>47</v>
      </c>
      <c r="D26" s="22">
        <f>13.66*1.1</f>
        <v>15.026000000000002</v>
      </c>
      <c r="E26" s="512"/>
      <c r="F26" s="41">
        <f t="shared" si="1"/>
        <v>0</v>
      </c>
    </row>
    <row r="27" spans="1:6" ht="51">
      <c r="A27" s="85" t="s">
        <v>63</v>
      </c>
      <c r="B27" s="135" t="s">
        <v>86</v>
      </c>
      <c r="C27" s="21" t="s">
        <v>47</v>
      </c>
      <c r="D27" s="22">
        <f>27.23*1.1</f>
        <v>29.953000000000003</v>
      </c>
      <c r="E27" s="512"/>
      <c r="F27" s="41">
        <f t="shared" si="1"/>
        <v>0</v>
      </c>
    </row>
    <row r="28" spans="1:6" ht="89.25">
      <c r="A28" s="85" t="s">
        <v>64</v>
      </c>
      <c r="B28" s="176" t="s">
        <v>153</v>
      </c>
      <c r="C28" s="21" t="s">
        <v>47</v>
      </c>
      <c r="D28" s="22">
        <v>80</v>
      </c>
      <c r="E28" s="512"/>
      <c r="F28" s="41">
        <f t="shared" si="1"/>
        <v>0</v>
      </c>
    </row>
    <row r="29" spans="1:6" ht="38.25">
      <c r="A29" s="85" t="s">
        <v>65</v>
      </c>
      <c r="B29" s="140" t="s">
        <v>87</v>
      </c>
      <c r="C29" s="21" t="s">
        <v>47</v>
      </c>
      <c r="D29" s="22">
        <f>150*0.3</f>
        <v>45</v>
      </c>
      <c r="E29" s="512"/>
      <c r="F29" s="41">
        <f t="shared" si="1"/>
        <v>0</v>
      </c>
    </row>
    <row r="30" spans="1:6" ht="38.25">
      <c r="A30" s="85" t="s">
        <v>66</v>
      </c>
      <c r="B30" s="140" t="s">
        <v>101</v>
      </c>
      <c r="C30" s="21" t="s">
        <v>47</v>
      </c>
      <c r="D30" s="22">
        <f>150*0.25</f>
        <v>37.5</v>
      </c>
      <c r="E30" s="512"/>
      <c r="F30" s="41">
        <f t="shared" si="1"/>
        <v>0</v>
      </c>
    </row>
    <row r="31" spans="1:6" ht="38.25">
      <c r="A31" s="85" t="s">
        <v>67</v>
      </c>
      <c r="B31" s="140" t="s">
        <v>162</v>
      </c>
      <c r="C31" s="21" t="s">
        <v>47</v>
      </c>
      <c r="D31" s="22">
        <f>90*0.45</f>
        <v>40.5</v>
      </c>
      <c r="E31" s="512"/>
      <c r="F31" s="41">
        <f t="shared" ref="F31" si="2">D31*E31</f>
        <v>0</v>
      </c>
    </row>
    <row r="32" spans="1:6">
      <c r="A32" s="85" t="s">
        <v>68</v>
      </c>
      <c r="B32" s="42" t="s">
        <v>154</v>
      </c>
      <c r="C32" s="21" t="s">
        <v>9</v>
      </c>
      <c r="D32" s="22">
        <v>55</v>
      </c>
      <c r="E32" s="512"/>
      <c r="F32" s="41">
        <f t="shared" si="1"/>
        <v>0</v>
      </c>
    </row>
    <row r="33" spans="1:7" ht="25.5">
      <c r="A33" s="85" t="s">
        <v>69</v>
      </c>
      <c r="B33" s="42" t="s">
        <v>45</v>
      </c>
      <c r="C33" s="21" t="s">
        <v>9</v>
      </c>
      <c r="D33" s="22">
        <v>80</v>
      </c>
      <c r="E33" s="512"/>
      <c r="F33" s="41">
        <f t="shared" si="1"/>
        <v>0</v>
      </c>
    </row>
    <row r="34" spans="1:7" ht="38.25">
      <c r="A34" s="85" t="s">
        <v>70</v>
      </c>
      <c r="B34" s="42" t="s">
        <v>163</v>
      </c>
      <c r="C34" s="21" t="s">
        <v>47</v>
      </c>
      <c r="D34" s="22">
        <f>((D8*0.1)+D15+D16+D18+D21+D19-D28)*1.25</f>
        <v>233.125</v>
      </c>
      <c r="E34" s="512"/>
      <c r="F34" s="41">
        <f t="shared" si="1"/>
        <v>0</v>
      </c>
    </row>
    <row r="35" spans="1:7" ht="25.5">
      <c r="A35" s="85" t="s">
        <v>71</v>
      </c>
      <c r="B35" s="20" t="s">
        <v>23</v>
      </c>
      <c r="C35" s="26" t="s">
        <v>48</v>
      </c>
      <c r="D35" s="22">
        <f>150</f>
        <v>150</v>
      </c>
      <c r="E35" s="512"/>
      <c r="F35" s="41">
        <f t="shared" si="1"/>
        <v>0</v>
      </c>
    </row>
    <row r="36" spans="1:7" s="191" customFormat="1" ht="15" thickBot="1">
      <c r="A36" s="85" t="s">
        <v>80</v>
      </c>
      <c r="B36" s="176" t="s">
        <v>117</v>
      </c>
      <c r="C36" s="26" t="s">
        <v>48</v>
      </c>
      <c r="D36" s="22">
        <f>D35*1.1</f>
        <v>165</v>
      </c>
      <c r="E36" s="512"/>
      <c r="F36" s="41">
        <f t="shared" si="1"/>
        <v>0</v>
      </c>
      <c r="G36" s="12"/>
    </row>
    <row r="37" spans="1:7" ht="15" thickBot="1">
      <c r="A37" s="125" t="s">
        <v>403</v>
      </c>
      <c r="B37" s="126" t="s">
        <v>11</v>
      </c>
      <c r="C37" s="44"/>
      <c r="D37" s="45"/>
      <c r="E37" s="72"/>
      <c r="F37" s="127">
        <f>SUM(F15:F36)</f>
        <v>0</v>
      </c>
      <c r="G37" s="9"/>
    </row>
    <row r="38" spans="1:7" ht="15" thickBot="1">
      <c r="A38" s="86"/>
      <c r="B38" s="203"/>
      <c r="C38" s="204"/>
      <c r="D38" s="205"/>
      <c r="E38" s="73"/>
      <c r="F38" s="66"/>
      <c r="G38" s="9"/>
    </row>
    <row r="39" spans="1:7" ht="15" thickBot="1">
      <c r="A39" s="90"/>
      <c r="B39" s="46" t="s">
        <v>37</v>
      </c>
      <c r="C39" s="47"/>
      <c r="D39" s="48"/>
      <c r="E39" s="74"/>
      <c r="F39" s="75"/>
      <c r="G39" s="9"/>
    </row>
    <row r="40" spans="1:7" ht="63.75">
      <c r="A40" s="88"/>
      <c r="B40" s="49" t="s">
        <v>24</v>
      </c>
      <c r="C40" s="17"/>
      <c r="D40" s="18"/>
      <c r="E40" s="64"/>
      <c r="F40" s="19"/>
      <c r="G40" s="9"/>
    </row>
    <row r="41" spans="1:7" ht="76.5">
      <c r="A41" s="89">
        <v>1</v>
      </c>
      <c r="B41" s="42" t="s">
        <v>98</v>
      </c>
      <c r="C41" s="21" t="s">
        <v>9</v>
      </c>
      <c r="D41" s="22">
        <v>85</v>
      </c>
      <c r="E41" s="519"/>
      <c r="F41" s="43">
        <f t="shared" ref="F41:F42" si="3">D41*E41</f>
        <v>0</v>
      </c>
      <c r="G41" s="9"/>
    </row>
    <row r="42" spans="1:7">
      <c r="A42" s="133"/>
      <c r="B42" s="207" t="s">
        <v>136</v>
      </c>
      <c r="C42" s="201" t="s">
        <v>6</v>
      </c>
      <c r="D42" s="22">
        <v>6</v>
      </c>
      <c r="E42" s="519"/>
      <c r="F42" s="43">
        <f t="shared" si="3"/>
        <v>0</v>
      </c>
      <c r="G42" s="9"/>
    </row>
    <row r="43" spans="1:7" ht="191.25">
      <c r="A43" s="129" t="s">
        <v>55</v>
      </c>
      <c r="B43" s="208" t="s">
        <v>100</v>
      </c>
      <c r="C43" s="196"/>
      <c r="D43" s="197"/>
      <c r="E43" s="209"/>
      <c r="F43" s="130"/>
      <c r="G43" s="9"/>
    </row>
    <row r="44" spans="1:7">
      <c r="A44" s="133"/>
      <c r="B44" s="207" t="s">
        <v>30</v>
      </c>
      <c r="C44" s="201" t="s">
        <v>6</v>
      </c>
      <c r="D44" s="202">
        <v>4</v>
      </c>
      <c r="E44" s="520"/>
      <c r="F44" s="134">
        <f t="shared" ref="F44:F50" si="4">D44*E44</f>
        <v>0</v>
      </c>
      <c r="G44" s="9"/>
    </row>
    <row r="45" spans="1:7" ht="51">
      <c r="A45" s="89" t="s">
        <v>56</v>
      </c>
      <c r="B45" s="42" t="s">
        <v>109</v>
      </c>
      <c r="C45" s="21" t="s">
        <v>6</v>
      </c>
      <c r="D45" s="22">
        <v>1</v>
      </c>
      <c r="E45" s="512"/>
      <c r="F45" s="43">
        <f t="shared" si="4"/>
        <v>0</v>
      </c>
      <c r="G45" s="9"/>
    </row>
    <row r="46" spans="1:7" ht="102">
      <c r="A46" s="89" t="s">
        <v>57</v>
      </c>
      <c r="B46" s="176" t="s">
        <v>89</v>
      </c>
      <c r="C46" s="21" t="s">
        <v>6</v>
      </c>
      <c r="D46" s="22">
        <v>2</v>
      </c>
      <c r="E46" s="518"/>
      <c r="F46" s="43">
        <f t="shared" si="4"/>
        <v>0</v>
      </c>
      <c r="G46" s="9"/>
    </row>
    <row r="47" spans="1:7" ht="51">
      <c r="A47" s="89" t="s">
        <v>58</v>
      </c>
      <c r="B47" s="20" t="s">
        <v>90</v>
      </c>
      <c r="C47" s="21" t="s">
        <v>6</v>
      </c>
      <c r="D47" s="22">
        <v>2</v>
      </c>
      <c r="E47" s="518"/>
      <c r="F47" s="43">
        <f t="shared" si="4"/>
        <v>0</v>
      </c>
      <c r="G47" s="9"/>
    </row>
    <row r="48" spans="1:7" ht="38.25">
      <c r="A48" s="89" t="s">
        <v>59</v>
      </c>
      <c r="B48" s="142" t="s">
        <v>91</v>
      </c>
      <c r="C48" s="21" t="s">
        <v>6</v>
      </c>
      <c r="D48" s="143">
        <v>2</v>
      </c>
      <c r="E48" s="513"/>
      <c r="F48" s="43">
        <f t="shared" si="4"/>
        <v>0</v>
      </c>
    </row>
    <row r="49" spans="1:7" ht="89.25">
      <c r="A49" s="89" t="s">
        <v>60</v>
      </c>
      <c r="B49" s="176" t="s">
        <v>81</v>
      </c>
      <c r="C49" s="21" t="s">
        <v>9</v>
      </c>
      <c r="D49" s="22">
        <f>2*8</f>
        <v>16</v>
      </c>
      <c r="E49" s="518"/>
      <c r="F49" s="43">
        <f t="shared" si="4"/>
        <v>0</v>
      </c>
    </row>
    <row r="50" spans="1:7" ht="15" thickBot="1">
      <c r="A50" s="131"/>
      <c r="B50" s="210" t="s">
        <v>115</v>
      </c>
      <c r="C50" s="38" t="s">
        <v>6</v>
      </c>
      <c r="D50" s="39">
        <v>2</v>
      </c>
      <c r="E50" s="522"/>
      <c r="F50" s="132">
        <f t="shared" si="4"/>
        <v>0</v>
      </c>
    </row>
    <row r="51" spans="1:7" ht="15" thickBot="1">
      <c r="A51" s="122" t="s">
        <v>38</v>
      </c>
      <c r="B51" s="124" t="s">
        <v>26</v>
      </c>
      <c r="C51" s="50"/>
      <c r="D51" s="51"/>
      <c r="E51" s="76"/>
      <c r="F51" s="123">
        <f>SUM(F41:F50)</f>
        <v>0</v>
      </c>
    </row>
    <row r="52" spans="1:7" ht="15" thickBot="1">
      <c r="A52" s="86"/>
      <c r="B52" s="31"/>
      <c r="C52" s="32"/>
      <c r="D52" s="33"/>
      <c r="E52" s="66"/>
      <c r="F52" s="66"/>
    </row>
    <row r="53" spans="1:7" ht="15" thickBot="1">
      <c r="A53" s="87"/>
      <c r="B53" s="52" t="s">
        <v>39</v>
      </c>
      <c r="C53" s="53"/>
      <c r="D53" s="54"/>
      <c r="E53" s="77"/>
      <c r="F53" s="78"/>
    </row>
    <row r="54" spans="1:7" ht="63.75">
      <c r="A54" s="84"/>
      <c r="B54" s="37" t="s">
        <v>8</v>
      </c>
      <c r="C54" s="38"/>
      <c r="D54" s="39"/>
      <c r="E54" s="70"/>
      <c r="F54" s="71"/>
    </row>
    <row r="55" spans="1:7" ht="25.5">
      <c r="A55" s="85" t="s">
        <v>54</v>
      </c>
      <c r="B55" s="55" t="s">
        <v>42</v>
      </c>
      <c r="C55" s="26" t="s">
        <v>9</v>
      </c>
      <c r="D55" s="81">
        <v>80</v>
      </c>
      <c r="E55" s="524"/>
      <c r="F55" s="23">
        <f t="shared" ref="F55:F61" si="5">D55*E55</f>
        <v>0</v>
      </c>
    </row>
    <row r="56" spans="1:7" ht="25.5">
      <c r="A56" s="85" t="s">
        <v>55</v>
      </c>
      <c r="B56" s="55" t="s">
        <v>104</v>
      </c>
      <c r="C56" s="26" t="s">
        <v>9</v>
      </c>
      <c r="D56" s="81">
        <v>80</v>
      </c>
      <c r="E56" s="524"/>
      <c r="F56" s="23">
        <f>D56*E56</f>
        <v>0</v>
      </c>
    </row>
    <row r="57" spans="1:7">
      <c r="A57" s="85" t="s">
        <v>56</v>
      </c>
      <c r="B57" s="55" t="s">
        <v>105</v>
      </c>
      <c r="C57" s="26" t="s">
        <v>9</v>
      </c>
      <c r="D57" s="81">
        <v>80</v>
      </c>
      <c r="E57" s="524"/>
      <c r="F57" s="23">
        <f>D57*E57</f>
        <v>0</v>
      </c>
    </row>
    <row r="58" spans="1:7" ht="25.5">
      <c r="A58" s="85" t="s">
        <v>57</v>
      </c>
      <c r="B58" s="184" t="s">
        <v>118</v>
      </c>
      <c r="C58" s="21" t="s">
        <v>48</v>
      </c>
      <c r="D58" s="22">
        <v>110</v>
      </c>
      <c r="E58" s="525"/>
      <c r="F58" s="23">
        <f>D58*E58</f>
        <v>0</v>
      </c>
    </row>
    <row r="59" spans="1:7" ht="25.5">
      <c r="A59" s="89" t="s">
        <v>58</v>
      </c>
      <c r="B59" s="141" t="s">
        <v>119</v>
      </c>
      <c r="C59" s="21" t="s">
        <v>48</v>
      </c>
      <c r="D59" s="22">
        <v>110</v>
      </c>
      <c r="E59" s="525"/>
      <c r="F59" s="23">
        <f t="shared" si="5"/>
        <v>0</v>
      </c>
    </row>
    <row r="60" spans="1:7" ht="25.5">
      <c r="A60" s="85" t="s">
        <v>59</v>
      </c>
      <c r="B60" s="24" t="s">
        <v>94</v>
      </c>
      <c r="C60" s="21" t="s">
        <v>47</v>
      </c>
      <c r="D60" s="22">
        <v>6</v>
      </c>
      <c r="E60" s="512"/>
      <c r="F60" s="23">
        <f t="shared" si="5"/>
        <v>0</v>
      </c>
    </row>
    <row r="61" spans="1:7" ht="51">
      <c r="A61" s="85" t="s">
        <v>60</v>
      </c>
      <c r="B61" s="24" t="s">
        <v>21</v>
      </c>
      <c r="C61" s="21" t="s">
        <v>6</v>
      </c>
      <c r="D61" s="22">
        <v>2</v>
      </c>
      <c r="E61" s="512"/>
      <c r="F61" s="23">
        <f t="shared" si="5"/>
        <v>0</v>
      </c>
    </row>
    <row r="62" spans="1:7" s="150" customFormat="1" ht="51.75" thickBot="1">
      <c r="A62" s="85" t="s">
        <v>61</v>
      </c>
      <c r="B62" s="24" t="s">
        <v>96</v>
      </c>
      <c r="C62" s="21" t="s">
        <v>6</v>
      </c>
      <c r="D62" s="22">
        <v>1</v>
      </c>
      <c r="E62" s="512"/>
      <c r="F62" s="23">
        <f>D62*E62</f>
        <v>0</v>
      </c>
      <c r="G62" s="58"/>
    </row>
    <row r="63" spans="1:7" ht="15" thickBot="1">
      <c r="A63" s="119" t="s">
        <v>40</v>
      </c>
      <c r="B63" s="120" t="s">
        <v>10</v>
      </c>
      <c r="C63" s="56"/>
      <c r="D63" s="57"/>
      <c r="E63" s="79"/>
      <c r="F63" s="121">
        <f>SUM(F55:F62)</f>
        <v>0</v>
      </c>
      <c r="G63" s="9"/>
    </row>
    <row r="64" spans="1:7" ht="15" thickBot="1">
      <c r="G64" s="9"/>
    </row>
    <row r="65" spans="1:7" ht="15" thickBot="1">
      <c r="A65" s="169"/>
      <c r="B65" s="170" t="s">
        <v>161</v>
      </c>
      <c r="C65" s="171"/>
      <c r="D65" s="172"/>
      <c r="E65" s="173"/>
      <c r="F65" s="174">
        <f>F10+F37+F51+F63</f>
        <v>0</v>
      </c>
      <c r="G65" s="9"/>
    </row>
    <row r="67" spans="1:7">
      <c r="G67" s="9"/>
    </row>
  </sheetData>
  <sheetProtection algorithmName="SHA-512" hashValue="gt4Iz2KyQ2YsiTTZh9eIAsFXS8SPfz4opmhOwviN2Xq/quSK8twZMeiq89oN1FyLh9+q4bvTPwTvlCSdDM9cVg==" saltValue="YUL7VpT6sCS+qHI7cLEuU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G75"/>
  <sheetViews>
    <sheetView view="pageBreakPreview" topLeftCell="A57" zoomScaleNormal="100" zoomScaleSheetLayoutView="100" workbookViewId="0">
      <selection activeCell="E63" activeCellId="8" sqref="E5:E10 E16:E18 E20:E21 E23 E25:E43 E48 E49 E51:E58 E63:E70"/>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411</v>
      </c>
      <c r="B1" s="178" t="s">
        <v>157</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365</v>
      </c>
      <c r="E5" s="512"/>
      <c r="F5" s="23">
        <f t="shared" ref="F5:F10" si="0">D5*E5</f>
        <v>0</v>
      </c>
    </row>
    <row r="6" spans="1:6" ht="25.5">
      <c r="A6" s="85" t="s">
        <v>55</v>
      </c>
      <c r="B6" s="24" t="s">
        <v>28</v>
      </c>
      <c r="C6" s="21" t="s">
        <v>6</v>
      </c>
      <c r="D6" s="22">
        <f>1+11+1+3</f>
        <v>16</v>
      </c>
      <c r="E6" s="512"/>
      <c r="F6" s="23">
        <f t="shared" si="0"/>
        <v>0</v>
      </c>
    </row>
    <row r="7" spans="1:6">
      <c r="A7" s="84" t="s">
        <v>56</v>
      </c>
      <c r="B7" s="176" t="s">
        <v>126</v>
      </c>
      <c r="C7" s="38" t="s">
        <v>6</v>
      </c>
      <c r="D7" s="22">
        <v>4</v>
      </c>
      <c r="E7" s="512"/>
      <c r="F7" s="23">
        <f t="shared" si="0"/>
        <v>0</v>
      </c>
    </row>
    <row r="8" spans="1:6" ht="38.25">
      <c r="A8" s="85" t="s">
        <v>57</v>
      </c>
      <c r="B8" s="25" t="s">
        <v>120</v>
      </c>
      <c r="C8" s="21" t="s">
        <v>9</v>
      </c>
      <c r="D8" s="22">
        <v>20</v>
      </c>
      <c r="E8" s="512"/>
      <c r="F8" s="23">
        <f t="shared" si="0"/>
        <v>0</v>
      </c>
    </row>
    <row r="9" spans="1:6" ht="38.25">
      <c r="A9" s="84" t="s">
        <v>58</v>
      </c>
      <c r="B9" s="20" t="s">
        <v>53</v>
      </c>
      <c r="C9" s="26" t="s">
        <v>48</v>
      </c>
      <c r="D9" s="22">
        <v>73</v>
      </c>
      <c r="E9" s="512"/>
      <c r="F9" s="23">
        <f t="shared" si="0"/>
        <v>0</v>
      </c>
    </row>
    <row r="10" spans="1:6" ht="39" thickBot="1">
      <c r="A10" s="84" t="s">
        <v>59</v>
      </c>
      <c r="B10" s="20" t="s">
        <v>83</v>
      </c>
      <c r="C10" s="21" t="s">
        <v>47</v>
      </c>
      <c r="D10" s="22">
        <v>6</v>
      </c>
      <c r="E10" s="512"/>
      <c r="F10" s="23">
        <f t="shared" si="0"/>
        <v>0</v>
      </c>
    </row>
    <row r="11" spans="1:6" ht="15" thickBot="1">
      <c r="A11" s="116" t="s">
        <v>34</v>
      </c>
      <c r="B11" s="28" t="s">
        <v>12</v>
      </c>
      <c r="C11" s="29"/>
      <c r="D11" s="30"/>
      <c r="E11" s="65"/>
      <c r="F11" s="117">
        <f>SUM(F5:F10)</f>
        <v>0</v>
      </c>
    </row>
    <row r="12" spans="1:6" ht="15" thickBot="1">
      <c r="A12" s="86"/>
      <c r="B12" s="31"/>
      <c r="C12" s="32"/>
      <c r="D12" s="33"/>
      <c r="E12" s="66"/>
      <c r="F12" s="67"/>
    </row>
    <row r="13" spans="1:6" ht="15" thickBot="1">
      <c r="A13" s="87"/>
      <c r="B13" s="34" t="s">
        <v>35</v>
      </c>
      <c r="C13" s="35"/>
      <c r="D13" s="36"/>
      <c r="E13" s="68"/>
      <c r="F13" s="69"/>
    </row>
    <row r="14" spans="1:6" ht="51">
      <c r="A14" s="88"/>
      <c r="B14" s="37" t="s">
        <v>52</v>
      </c>
      <c r="C14" s="38"/>
      <c r="D14" s="39"/>
      <c r="E14" s="70"/>
      <c r="F14" s="71"/>
    </row>
    <row r="15" spans="1:6" ht="38.25">
      <c r="A15" s="84"/>
      <c r="B15" s="40" t="s">
        <v>25</v>
      </c>
      <c r="C15" s="21"/>
      <c r="D15" s="22"/>
      <c r="E15" s="27"/>
      <c r="F15" s="23"/>
    </row>
    <row r="16" spans="1:6" ht="38.25">
      <c r="A16" s="85" t="s">
        <v>54</v>
      </c>
      <c r="B16" s="20" t="s">
        <v>128</v>
      </c>
      <c r="C16" s="21" t="s">
        <v>47</v>
      </c>
      <c r="D16" s="22">
        <f>340*3*0.2</f>
        <v>204</v>
      </c>
      <c r="E16" s="512"/>
      <c r="F16" s="23">
        <f>D16*E16</f>
        <v>0</v>
      </c>
    </row>
    <row r="17" spans="1:6" ht="25.5">
      <c r="A17" s="85" t="s">
        <v>55</v>
      </c>
      <c r="B17" s="135" t="s">
        <v>102</v>
      </c>
      <c r="C17" s="21" t="s">
        <v>47</v>
      </c>
      <c r="D17" s="22">
        <f>94*0.3</f>
        <v>28.2</v>
      </c>
      <c r="E17" s="512"/>
      <c r="F17" s="23">
        <f>D17*E17</f>
        <v>0</v>
      </c>
    </row>
    <row r="18" spans="1:6">
      <c r="A18" s="85" t="s">
        <v>56</v>
      </c>
      <c r="B18" s="20" t="s">
        <v>43</v>
      </c>
      <c r="C18" s="21" t="s">
        <v>47</v>
      </c>
      <c r="D18" s="22">
        <v>8</v>
      </c>
      <c r="E18" s="512"/>
      <c r="F18" s="23">
        <f>D18*E18</f>
        <v>0</v>
      </c>
    </row>
    <row r="19" spans="1:6" ht="51">
      <c r="A19" s="128" t="s">
        <v>57</v>
      </c>
      <c r="B19" s="145" t="s">
        <v>152</v>
      </c>
      <c r="C19" s="196"/>
      <c r="D19" s="197"/>
      <c r="E19" s="146"/>
      <c r="F19" s="147"/>
    </row>
    <row r="20" spans="1:6">
      <c r="A20" s="84"/>
      <c r="B20" s="198" t="s">
        <v>77</v>
      </c>
      <c r="C20" s="38" t="s">
        <v>47</v>
      </c>
      <c r="D20" s="39">
        <f>58*0.9</f>
        <v>52.2</v>
      </c>
      <c r="E20" s="515"/>
      <c r="F20" s="148">
        <f>D20*E20</f>
        <v>0</v>
      </c>
    </row>
    <row r="21" spans="1:6">
      <c r="A21" s="84"/>
      <c r="B21" s="198" t="s">
        <v>76</v>
      </c>
      <c r="C21" s="38" t="s">
        <v>47</v>
      </c>
      <c r="D21" s="39">
        <v>1</v>
      </c>
      <c r="E21" s="515"/>
      <c r="F21" s="148">
        <f>D21*E21</f>
        <v>0</v>
      </c>
    </row>
    <row r="22" spans="1:6" ht="38.25">
      <c r="A22" s="128" t="s">
        <v>58</v>
      </c>
      <c r="B22" s="145" t="s">
        <v>155</v>
      </c>
      <c r="C22" s="196"/>
      <c r="D22" s="197"/>
      <c r="E22" s="146"/>
      <c r="F22" s="147"/>
    </row>
    <row r="23" spans="1:6">
      <c r="A23" s="199"/>
      <c r="B23" s="200" t="s">
        <v>77</v>
      </c>
      <c r="C23" s="201" t="s">
        <v>47</v>
      </c>
      <c r="D23" s="202">
        <f>94*0.25</f>
        <v>23.5</v>
      </c>
      <c r="E23" s="516"/>
      <c r="F23" s="149">
        <f>D23*E23</f>
        <v>0</v>
      </c>
    </row>
    <row r="24" spans="1:6" ht="25.5">
      <c r="A24" s="128" t="s">
        <v>129</v>
      </c>
      <c r="B24" s="145" t="s">
        <v>130</v>
      </c>
      <c r="C24" s="196"/>
      <c r="D24" s="197"/>
      <c r="E24" s="146"/>
      <c r="F24" s="147"/>
    </row>
    <row r="25" spans="1:6">
      <c r="A25" s="199"/>
      <c r="B25" s="200" t="s">
        <v>77</v>
      </c>
      <c r="C25" s="201" t="s">
        <v>47</v>
      </c>
      <c r="D25" s="202">
        <f>890.21*0.9</f>
        <v>801.18900000000008</v>
      </c>
      <c r="E25" s="516"/>
      <c r="F25" s="149">
        <f>D25*E25</f>
        <v>0</v>
      </c>
    </row>
    <row r="26" spans="1:6">
      <c r="A26" s="84"/>
      <c r="B26" s="198" t="s">
        <v>76</v>
      </c>
      <c r="C26" s="38" t="s">
        <v>47</v>
      </c>
      <c r="D26" s="39">
        <v>1</v>
      </c>
      <c r="E26" s="515"/>
      <c r="F26" s="148">
        <f>D26*E26</f>
        <v>0</v>
      </c>
    </row>
    <row r="27" spans="1:6" ht="38.25">
      <c r="A27" s="85" t="s">
        <v>59</v>
      </c>
      <c r="B27" s="145" t="s">
        <v>616</v>
      </c>
      <c r="C27" s="21" t="s">
        <v>47</v>
      </c>
      <c r="D27" s="202">
        <f>(58+890.21)*0.1</f>
        <v>94.821000000000012</v>
      </c>
      <c r="E27" s="517"/>
      <c r="F27" s="41">
        <f>D27*E27</f>
        <v>0</v>
      </c>
    </row>
    <row r="28" spans="1:6" ht="38.25">
      <c r="A28" s="85" t="s">
        <v>60</v>
      </c>
      <c r="B28" s="176" t="s">
        <v>29</v>
      </c>
      <c r="C28" s="21" t="s">
        <v>48</v>
      </c>
      <c r="D28" s="22">
        <f>25*1.7*2</f>
        <v>85</v>
      </c>
      <c r="E28" s="518"/>
      <c r="F28" s="41">
        <f t="shared" ref="F28:F43" si="1">D28*E28</f>
        <v>0</v>
      </c>
    </row>
    <row r="29" spans="1:6" ht="63.75">
      <c r="A29" s="85" t="s">
        <v>61</v>
      </c>
      <c r="B29" s="20" t="s">
        <v>73</v>
      </c>
      <c r="C29" s="21" t="s">
        <v>6</v>
      </c>
      <c r="D29" s="22">
        <v>6</v>
      </c>
      <c r="E29" s="518"/>
      <c r="F29" s="41">
        <f t="shared" si="1"/>
        <v>0</v>
      </c>
    </row>
    <row r="30" spans="1:6" ht="25.5">
      <c r="A30" s="85" t="s">
        <v>62</v>
      </c>
      <c r="B30" s="176" t="s">
        <v>44</v>
      </c>
      <c r="C30" s="26" t="s">
        <v>48</v>
      </c>
      <c r="D30" s="22">
        <f>23.5*0.9+340*0.8</f>
        <v>293.14999999999998</v>
      </c>
      <c r="E30" s="512"/>
      <c r="F30" s="41">
        <f t="shared" si="1"/>
        <v>0</v>
      </c>
    </row>
    <row r="31" spans="1:6" ht="51">
      <c r="A31" s="85" t="s">
        <v>63</v>
      </c>
      <c r="B31" s="135" t="s">
        <v>85</v>
      </c>
      <c r="C31" s="21" t="s">
        <v>47</v>
      </c>
      <c r="D31" s="22">
        <f>(44+3.19)*1.1</f>
        <v>51.908999999999999</v>
      </c>
      <c r="E31" s="512"/>
      <c r="F31" s="41">
        <f>D31*E31</f>
        <v>0</v>
      </c>
    </row>
    <row r="32" spans="1:6" ht="51">
      <c r="A32" s="85" t="s">
        <v>64</v>
      </c>
      <c r="B32" s="135" t="s">
        <v>86</v>
      </c>
      <c r="C32" s="21" t="s">
        <v>47</v>
      </c>
      <c r="D32" s="22">
        <f>(110+6.36)*1.1</f>
        <v>127.99600000000001</v>
      </c>
      <c r="E32" s="512"/>
      <c r="F32" s="41">
        <f>D32*E32</f>
        <v>0</v>
      </c>
    </row>
    <row r="33" spans="1:7" ht="89.25">
      <c r="A33" s="85" t="s">
        <v>65</v>
      </c>
      <c r="B33" s="176" t="s">
        <v>153</v>
      </c>
      <c r="C33" s="21" t="s">
        <v>47</v>
      </c>
      <c r="D33" s="22">
        <v>40</v>
      </c>
      <c r="E33" s="512"/>
      <c r="F33" s="41">
        <f t="shared" si="1"/>
        <v>0</v>
      </c>
    </row>
    <row r="34" spans="1:7" ht="63.75">
      <c r="A34" s="85" t="s">
        <v>131</v>
      </c>
      <c r="B34" s="20" t="s">
        <v>132</v>
      </c>
      <c r="C34" s="21" t="s">
        <v>47</v>
      </c>
      <c r="D34" s="22">
        <v>726</v>
      </c>
      <c r="E34" s="512"/>
      <c r="F34" s="41">
        <f t="shared" si="1"/>
        <v>0</v>
      </c>
    </row>
    <row r="35" spans="1:7" ht="38.25">
      <c r="A35" s="85" t="s">
        <v>66</v>
      </c>
      <c r="B35" s="140" t="s">
        <v>87</v>
      </c>
      <c r="C35" s="21" t="s">
        <v>47</v>
      </c>
      <c r="D35" s="22">
        <f>94*0.3</f>
        <v>28.2</v>
      </c>
      <c r="E35" s="512"/>
      <c r="F35" s="41">
        <f t="shared" si="1"/>
        <v>0</v>
      </c>
    </row>
    <row r="36" spans="1:7" ht="38.25">
      <c r="A36" s="85" t="s">
        <v>67</v>
      </c>
      <c r="B36" s="140" t="s">
        <v>101</v>
      </c>
      <c r="C36" s="21" t="s">
        <v>47</v>
      </c>
      <c r="D36" s="22">
        <f>94*0.25</f>
        <v>23.5</v>
      </c>
      <c r="E36" s="512"/>
      <c r="F36" s="41">
        <f t="shared" si="1"/>
        <v>0</v>
      </c>
    </row>
    <row r="37" spans="1:7">
      <c r="A37" s="85" t="s">
        <v>68</v>
      </c>
      <c r="B37" s="42" t="s">
        <v>154</v>
      </c>
      <c r="C37" s="21" t="s">
        <v>9</v>
      </c>
      <c r="D37" s="22">
        <v>37</v>
      </c>
      <c r="E37" s="512"/>
      <c r="F37" s="41">
        <f t="shared" si="1"/>
        <v>0</v>
      </c>
    </row>
    <row r="38" spans="1:7" ht="25.5">
      <c r="A38" s="85" t="s">
        <v>69</v>
      </c>
      <c r="B38" s="42" t="s">
        <v>45</v>
      </c>
      <c r="C38" s="21" t="s">
        <v>9</v>
      </c>
      <c r="D38" s="22">
        <v>365</v>
      </c>
      <c r="E38" s="512"/>
      <c r="F38" s="41">
        <f t="shared" si="1"/>
        <v>0</v>
      </c>
    </row>
    <row r="39" spans="1:7" ht="38.25">
      <c r="A39" s="85" t="s">
        <v>70</v>
      </c>
      <c r="B39" s="42" t="s">
        <v>159</v>
      </c>
      <c r="C39" s="21" t="s">
        <v>47</v>
      </c>
      <c r="D39" s="22">
        <f>((D9*0.1)+D17+D18+D21+D26+D20+D23+D25-D33-D34)*1.25</f>
        <v>195.48625000000015</v>
      </c>
      <c r="E39" s="512"/>
      <c r="F39" s="41">
        <f t="shared" si="1"/>
        <v>0</v>
      </c>
    </row>
    <row r="40" spans="1:7" ht="25.5">
      <c r="A40" s="85" t="s">
        <v>71</v>
      </c>
      <c r="B40" s="20" t="s">
        <v>23</v>
      </c>
      <c r="C40" s="26" t="s">
        <v>48</v>
      </c>
      <c r="D40" s="22">
        <v>94</v>
      </c>
      <c r="E40" s="512"/>
      <c r="F40" s="41">
        <f t="shared" si="1"/>
        <v>0</v>
      </c>
    </row>
    <row r="41" spans="1:7" s="191" customFormat="1">
      <c r="A41" s="85" t="s">
        <v>80</v>
      </c>
      <c r="B41" s="176" t="s">
        <v>117</v>
      </c>
      <c r="C41" s="26" t="s">
        <v>48</v>
      </c>
      <c r="D41" s="22">
        <f>(D40)*1.1</f>
        <v>103.4</v>
      </c>
      <c r="E41" s="512"/>
      <c r="F41" s="41">
        <f t="shared" si="1"/>
        <v>0</v>
      </c>
      <c r="G41" s="12"/>
    </row>
    <row r="42" spans="1:7" ht="25.5">
      <c r="A42" s="85" t="s">
        <v>103</v>
      </c>
      <c r="B42" s="42" t="s">
        <v>135</v>
      </c>
      <c r="C42" s="21" t="s">
        <v>47</v>
      </c>
      <c r="D42" s="22">
        <f>D16</f>
        <v>204</v>
      </c>
      <c r="E42" s="512"/>
      <c r="F42" s="41">
        <f t="shared" si="1"/>
        <v>0</v>
      </c>
    </row>
    <row r="43" spans="1:7" ht="26.25" thickBot="1">
      <c r="A43" s="85" t="s">
        <v>113</v>
      </c>
      <c r="B43" s="177" t="s">
        <v>74</v>
      </c>
      <c r="C43" s="21" t="s">
        <v>48</v>
      </c>
      <c r="D43" s="22">
        <f>(D42)/0.2</f>
        <v>1020</v>
      </c>
      <c r="E43" s="512"/>
      <c r="F43" s="41">
        <f t="shared" si="1"/>
        <v>0</v>
      </c>
    </row>
    <row r="44" spans="1:7" ht="15" thickBot="1">
      <c r="A44" s="125" t="s">
        <v>36</v>
      </c>
      <c r="B44" s="126" t="s">
        <v>11</v>
      </c>
      <c r="C44" s="44"/>
      <c r="D44" s="45"/>
      <c r="E44" s="72"/>
      <c r="F44" s="127">
        <f>SUM(F16:F43)</f>
        <v>0</v>
      </c>
      <c r="G44" s="9"/>
    </row>
    <row r="45" spans="1:7" ht="15" thickBot="1">
      <c r="A45" s="86"/>
      <c r="B45" s="203"/>
      <c r="C45" s="204"/>
      <c r="D45" s="205"/>
      <c r="E45" s="73"/>
      <c r="F45" s="66"/>
      <c r="G45" s="9"/>
    </row>
    <row r="46" spans="1:7" ht="15" thickBot="1">
      <c r="A46" s="90"/>
      <c r="B46" s="46" t="s">
        <v>37</v>
      </c>
      <c r="C46" s="47"/>
      <c r="D46" s="48"/>
      <c r="E46" s="74"/>
      <c r="F46" s="75"/>
      <c r="G46" s="9"/>
    </row>
    <row r="47" spans="1:7" ht="63.75">
      <c r="A47" s="88"/>
      <c r="B47" s="49" t="s">
        <v>24</v>
      </c>
      <c r="C47" s="17"/>
      <c r="D47" s="18"/>
      <c r="E47" s="64"/>
      <c r="F47" s="19"/>
      <c r="G47" s="9"/>
    </row>
    <row r="48" spans="1:7" ht="76.5">
      <c r="A48" s="89">
        <v>1</v>
      </c>
      <c r="B48" s="42" t="s">
        <v>98</v>
      </c>
      <c r="C48" s="21" t="s">
        <v>9</v>
      </c>
      <c r="D48" s="22">
        <v>375</v>
      </c>
      <c r="E48" s="519"/>
      <c r="F48" s="43">
        <f t="shared" ref="F48:F49" si="2">D48*E48</f>
        <v>0</v>
      </c>
      <c r="G48" s="9"/>
    </row>
    <row r="49" spans="1:7">
      <c r="A49" s="133"/>
      <c r="B49" s="207" t="s">
        <v>136</v>
      </c>
      <c r="C49" s="201" t="s">
        <v>6</v>
      </c>
      <c r="D49" s="22">
        <v>22</v>
      </c>
      <c r="E49" s="519"/>
      <c r="F49" s="43">
        <f t="shared" si="2"/>
        <v>0</v>
      </c>
      <c r="G49" s="9"/>
    </row>
    <row r="50" spans="1:7" ht="191.25">
      <c r="A50" s="129" t="s">
        <v>55</v>
      </c>
      <c r="B50" s="208" t="s">
        <v>100</v>
      </c>
      <c r="C50" s="196"/>
      <c r="D50" s="197"/>
      <c r="E50" s="209"/>
      <c r="F50" s="130"/>
      <c r="G50" s="9"/>
    </row>
    <row r="51" spans="1:7">
      <c r="A51" s="133"/>
      <c r="B51" s="207" t="s">
        <v>30</v>
      </c>
      <c r="C51" s="201" t="s">
        <v>6</v>
      </c>
      <c r="D51" s="202">
        <v>11</v>
      </c>
      <c r="E51" s="520"/>
      <c r="F51" s="134">
        <f t="shared" ref="F51:F58" si="3">D51*E51</f>
        <v>0</v>
      </c>
      <c r="G51" s="9"/>
    </row>
    <row r="52" spans="1:7">
      <c r="A52" s="133"/>
      <c r="B52" s="207" t="s">
        <v>145</v>
      </c>
      <c r="C52" s="201" t="s">
        <v>6</v>
      </c>
      <c r="D52" s="202">
        <v>1</v>
      </c>
      <c r="E52" s="520"/>
      <c r="F52" s="134">
        <f t="shared" si="3"/>
        <v>0</v>
      </c>
      <c r="G52" s="9"/>
    </row>
    <row r="53" spans="1:7" ht="51">
      <c r="A53" s="89" t="s">
        <v>56</v>
      </c>
      <c r="B53" s="42" t="s">
        <v>109</v>
      </c>
      <c r="C53" s="21" t="s">
        <v>6</v>
      </c>
      <c r="D53" s="22">
        <v>1</v>
      </c>
      <c r="E53" s="512"/>
      <c r="F53" s="43">
        <f t="shared" si="3"/>
        <v>0</v>
      </c>
      <c r="G53" s="9"/>
    </row>
    <row r="54" spans="1:7" ht="102">
      <c r="A54" s="89" t="s">
        <v>57</v>
      </c>
      <c r="B54" s="176" t="s">
        <v>89</v>
      </c>
      <c r="C54" s="21" t="s">
        <v>6</v>
      </c>
      <c r="D54" s="22">
        <v>3</v>
      </c>
      <c r="E54" s="518"/>
      <c r="F54" s="43">
        <f t="shared" si="3"/>
        <v>0</v>
      </c>
      <c r="G54" s="9"/>
    </row>
    <row r="55" spans="1:7" ht="51">
      <c r="A55" s="89" t="s">
        <v>58</v>
      </c>
      <c r="B55" s="20" t="s">
        <v>90</v>
      </c>
      <c r="C55" s="21" t="s">
        <v>6</v>
      </c>
      <c r="D55" s="22">
        <v>3</v>
      </c>
      <c r="E55" s="518"/>
      <c r="F55" s="43">
        <f t="shared" si="3"/>
        <v>0</v>
      </c>
      <c r="G55" s="9"/>
    </row>
    <row r="56" spans="1:7" ht="38.25">
      <c r="A56" s="89" t="s">
        <v>59</v>
      </c>
      <c r="B56" s="142" t="s">
        <v>91</v>
      </c>
      <c r="C56" s="21" t="s">
        <v>6</v>
      </c>
      <c r="D56" s="143">
        <v>3</v>
      </c>
      <c r="E56" s="513"/>
      <c r="F56" s="43">
        <f t="shared" si="3"/>
        <v>0</v>
      </c>
    </row>
    <row r="57" spans="1:7" ht="89.25">
      <c r="A57" s="89" t="s">
        <v>60</v>
      </c>
      <c r="B57" s="176" t="s">
        <v>81</v>
      </c>
      <c r="C57" s="21" t="s">
        <v>9</v>
      </c>
      <c r="D57" s="22">
        <f>3*8</f>
        <v>24</v>
      </c>
      <c r="E57" s="518"/>
      <c r="F57" s="43">
        <f t="shared" si="3"/>
        <v>0</v>
      </c>
    </row>
    <row r="58" spans="1:7" ht="15" thickBot="1">
      <c r="A58" s="131"/>
      <c r="B58" s="210" t="s">
        <v>115</v>
      </c>
      <c r="C58" s="38" t="s">
        <v>6</v>
      </c>
      <c r="D58" s="39">
        <v>3</v>
      </c>
      <c r="E58" s="522"/>
      <c r="F58" s="132">
        <f t="shared" si="3"/>
        <v>0</v>
      </c>
    </row>
    <row r="59" spans="1:7" ht="15" thickBot="1">
      <c r="A59" s="122" t="s">
        <v>38</v>
      </c>
      <c r="B59" s="124" t="s">
        <v>26</v>
      </c>
      <c r="C59" s="50"/>
      <c r="D59" s="51"/>
      <c r="E59" s="76"/>
      <c r="F59" s="123">
        <f>SUM(F48:F58)</f>
        <v>0</v>
      </c>
    </row>
    <row r="60" spans="1:7" ht="15" thickBot="1">
      <c r="A60" s="86"/>
      <c r="B60" s="31"/>
      <c r="C60" s="32"/>
      <c r="D60" s="33"/>
      <c r="E60" s="66"/>
      <c r="F60" s="66"/>
    </row>
    <row r="61" spans="1:7" ht="15" thickBot="1">
      <c r="A61" s="87"/>
      <c r="B61" s="52" t="s">
        <v>39</v>
      </c>
      <c r="C61" s="53"/>
      <c r="D61" s="54"/>
      <c r="E61" s="77"/>
      <c r="F61" s="78"/>
    </row>
    <row r="62" spans="1:7" ht="63.75">
      <c r="A62" s="84"/>
      <c r="B62" s="37" t="s">
        <v>8</v>
      </c>
      <c r="C62" s="38"/>
      <c r="D62" s="39"/>
      <c r="E62" s="70"/>
      <c r="F62" s="71"/>
    </row>
    <row r="63" spans="1:7" ht="25.5">
      <c r="A63" s="85" t="s">
        <v>54</v>
      </c>
      <c r="B63" s="55" t="s">
        <v>42</v>
      </c>
      <c r="C63" s="26" t="s">
        <v>9</v>
      </c>
      <c r="D63" s="81">
        <v>365</v>
      </c>
      <c r="E63" s="524"/>
      <c r="F63" s="23">
        <f>D63*E63</f>
        <v>0</v>
      </c>
    </row>
    <row r="64" spans="1:7" ht="25.5">
      <c r="A64" s="85" t="s">
        <v>55</v>
      </c>
      <c r="B64" s="55" t="s">
        <v>104</v>
      </c>
      <c r="C64" s="26" t="s">
        <v>9</v>
      </c>
      <c r="D64" s="81">
        <v>365</v>
      </c>
      <c r="E64" s="524"/>
      <c r="F64" s="23">
        <f>D64*E64</f>
        <v>0</v>
      </c>
    </row>
    <row r="65" spans="1:7">
      <c r="A65" s="85" t="s">
        <v>56</v>
      </c>
      <c r="B65" s="55" t="s">
        <v>105</v>
      </c>
      <c r="C65" s="26" t="s">
        <v>9</v>
      </c>
      <c r="D65" s="81">
        <v>365</v>
      </c>
      <c r="E65" s="524"/>
      <c r="F65" s="23">
        <f>D65*E65</f>
        <v>0</v>
      </c>
    </row>
    <row r="66" spans="1:7" ht="25.5">
      <c r="A66" s="85" t="s">
        <v>57</v>
      </c>
      <c r="B66" s="184" t="s">
        <v>118</v>
      </c>
      <c r="C66" s="21" t="s">
        <v>48</v>
      </c>
      <c r="D66" s="22">
        <v>73</v>
      </c>
      <c r="E66" s="525"/>
      <c r="F66" s="23">
        <f>D66*E66</f>
        <v>0</v>
      </c>
    </row>
    <row r="67" spans="1:7" ht="25.5">
      <c r="A67" s="89" t="s">
        <v>58</v>
      </c>
      <c r="B67" s="141" t="s">
        <v>119</v>
      </c>
      <c r="C67" s="21" t="s">
        <v>48</v>
      </c>
      <c r="D67" s="22">
        <v>73</v>
      </c>
      <c r="E67" s="525"/>
      <c r="F67" s="23">
        <f t="shared" ref="F67:F69" si="4">D67*E67</f>
        <v>0</v>
      </c>
    </row>
    <row r="68" spans="1:7" ht="25.5">
      <c r="A68" s="85" t="s">
        <v>59</v>
      </c>
      <c r="B68" s="24" t="s">
        <v>94</v>
      </c>
      <c r="C68" s="21" t="s">
        <v>47</v>
      </c>
      <c r="D68" s="22">
        <v>6</v>
      </c>
      <c r="E68" s="512"/>
      <c r="F68" s="23">
        <f t="shared" si="4"/>
        <v>0</v>
      </c>
    </row>
    <row r="69" spans="1:7" ht="51">
      <c r="A69" s="85" t="s">
        <v>60</v>
      </c>
      <c r="B69" s="24" t="s">
        <v>21</v>
      </c>
      <c r="C69" s="21" t="s">
        <v>6</v>
      </c>
      <c r="D69" s="22">
        <v>2</v>
      </c>
      <c r="E69" s="512"/>
      <c r="F69" s="23">
        <f t="shared" si="4"/>
        <v>0</v>
      </c>
    </row>
    <row r="70" spans="1:7" s="150" customFormat="1" ht="51.75" thickBot="1">
      <c r="A70" s="85" t="s">
        <v>61</v>
      </c>
      <c r="B70" s="24" t="s">
        <v>96</v>
      </c>
      <c r="C70" s="21" t="s">
        <v>6</v>
      </c>
      <c r="D70" s="22">
        <v>1</v>
      </c>
      <c r="E70" s="512"/>
      <c r="F70" s="23">
        <f>D70*E70</f>
        <v>0</v>
      </c>
      <c r="G70" s="58"/>
    </row>
    <row r="71" spans="1:7" ht="15" thickBot="1">
      <c r="A71" s="119" t="s">
        <v>40</v>
      </c>
      <c r="B71" s="120" t="s">
        <v>10</v>
      </c>
      <c r="C71" s="56"/>
      <c r="D71" s="57"/>
      <c r="E71" s="79"/>
      <c r="F71" s="121">
        <f>SUM(F63:F70)</f>
        <v>0</v>
      </c>
      <c r="G71" s="9"/>
    </row>
    <row r="72" spans="1:7" ht="15" thickBot="1">
      <c r="G72" s="9"/>
    </row>
    <row r="73" spans="1:7" ht="15" thickBot="1">
      <c r="A73" s="169"/>
      <c r="B73" s="170" t="s">
        <v>158</v>
      </c>
      <c r="C73" s="171"/>
      <c r="D73" s="172"/>
      <c r="E73" s="173"/>
      <c r="F73" s="174">
        <f>F11+F44+F59+F71</f>
        <v>0</v>
      </c>
      <c r="G73" s="9"/>
    </row>
    <row r="75" spans="1:7">
      <c r="G75" s="9"/>
    </row>
  </sheetData>
  <sheetProtection algorithmName="SHA-512" hashValue="Gxz/yacwc8LBGhdA1yExYQp3qwwlXBnc5O1kQP8RqzRtjgsUr0Cwp4CAml2+QDPsc4fViKkBSFhhAbrwDDtnWg==" saltValue="Sxs0cXP3qvn65wAeB72W3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44"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S69"/>
  <sheetViews>
    <sheetView view="pageBreakPreview" topLeftCell="A55" zoomScaleNormal="100" zoomScaleSheetLayoutView="100" workbookViewId="0">
      <selection activeCell="E61" sqref="E61:E64"/>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412</v>
      </c>
      <c r="B1" s="178" t="s">
        <v>139</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155</v>
      </c>
      <c r="E5" s="512"/>
      <c r="F5" s="23">
        <f t="shared" ref="F5:F7" si="0">D5*E5</f>
        <v>0</v>
      </c>
    </row>
    <row r="6" spans="1:6" ht="25.5">
      <c r="A6" s="85" t="s">
        <v>55</v>
      </c>
      <c r="B6" s="24" t="s">
        <v>28</v>
      </c>
      <c r="C6" s="21" t="s">
        <v>6</v>
      </c>
      <c r="D6" s="22">
        <f>1+8+3</f>
        <v>12</v>
      </c>
      <c r="E6" s="512"/>
      <c r="F6" s="23">
        <f t="shared" si="0"/>
        <v>0</v>
      </c>
    </row>
    <row r="7" spans="1:6" ht="39" thickBot="1">
      <c r="A7" s="84" t="s">
        <v>56</v>
      </c>
      <c r="B7" s="20" t="s">
        <v>83</v>
      </c>
      <c r="C7" s="21" t="s">
        <v>47</v>
      </c>
      <c r="D7" s="22">
        <v>3</v>
      </c>
      <c r="E7" s="512"/>
      <c r="F7" s="23">
        <f t="shared" si="0"/>
        <v>0</v>
      </c>
    </row>
    <row r="8" spans="1:6" ht="15" thickBot="1">
      <c r="A8" s="116" t="s">
        <v>34</v>
      </c>
      <c r="B8" s="28" t="s">
        <v>12</v>
      </c>
      <c r="C8" s="29"/>
      <c r="D8" s="30"/>
      <c r="E8" s="65"/>
      <c r="F8" s="117">
        <f>SUM(F5:F7)</f>
        <v>0</v>
      </c>
    </row>
    <row r="9" spans="1:6" ht="15" thickBot="1">
      <c r="A9" s="86"/>
      <c r="B9" s="31"/>
      <c r="C9" s="32"/>
      <c r="D9" s="33"/>
      <c r="E9" s="66"/>
      <c r="F9" s="67"/>
    </row>
    <row r="10" spans="1:6" ht="15" thickBot="1">
      <c r="A10" s="87"/>
      <c r="B10" s="34" t="s">
        <v>35</v>
      </c>
      <c r="C10" s="35"/>
      <c r="D10" s="36"/>
      <c r="E10" s="68"/>
      <c r="F10" s="69"/>
    </row>
    <row r="11" spans="1:6" ht="51">
      <c r="A11" s="88"/>
      <c r="B11" s="37" t="s">
        <v>52</v>
      </c>
      <c r="C11" s="38"/>
      <c r="D11" s="39"/>
      <c r="E11" s="70"/>
      <c r="F11" s="71"/>
    </row>
    <row r="12" spans="1:6" ht="38.25">
      <c r="A12" s="84"/>
      <c r="B12" s="40" t="s">
        <v>25</v>
      </c>
      <c r="C12" s="21"/>
      <c r="D12" s="22"/>
      <c r="E12" s="27"/>
      <c r="F12" s="23"/>
    </row>
    <row r="13" spans="1:6" ht="38.25">
      <c r="A13" s="85" t="s">
        <v>54</v>
      </c>
      <c r="B13" s="20" t="s">
        <v>72</v>
      </c>
      <c r="C13" s="21" t="s">
        <v>47</v>
      </c>
      <c r="D13" s="22">
        <f>(91*3*0.2)*0.3</f>
        <v>16.38</v>
      </c>
      <c r="E13" s="512"/>
      <c r="F13" s="23">
        <f>D13*E13</f>
        <v>0</v>
      </c>
    </row>
    <row r="14" spans="1:6" ht="38.25">
      <c r="A14" s="85" t="s">
        <v>127</v>
      </c>
      <c r="B14" s="20" t="s">
        <v>128</v>
      </c>
      <c r="C14" s="21" t="s">
        <v>47</v>
      </c>
      <c r="D14" s="22">
        <f>(91*3*0.2)*0.7</f>
        <v>38.22</v>
      </c>
      <c r="E14" s="512"/>
      <c r="F14" s="23">
        <f>D14*E14</f>
        <v>0</v>
      </c>
    </row>
    <row r="15" spans="1:6" ht="25.5">
      <c r="A15" s="85" t="s">
        <v>55</v>
      </c>
      <c r="B15" s="135" t="s">
        <v>102</v>
      </c>
      <c r="C15" s="21" t="s">
        <v>47</v>
      </c>
      <c r="D15" s="22">
        <f>61*2.5*0.3</f>
        <v>45.75</v>
      </c>
      <c r="E15" s="512"/>
      <c r="F15" s="23">
        <f>D15*E15</f>
        <v>0</v>
      </c>
    </row>
    <row r="16" spans="1:6">
      <c r="A16" s="85" t="s">
        <v>56</v>
      </c>
      <c r="B16" s="20" t="s">
        <v>43</v>
      </c>
      <c r="C16" s="21" t="s">
        <v>47</v>
      </c>
      <c r="D16" s="22">
        <v>5</v>
      </c>
      <c r="E16" s="512"/>
      <c r="F16" s="23">
        <f>D16*E16</f>
        <v>0</v>
      </c>
    </row>
    <row r="17" spans="1:6" ht="38.25">
      <c r="A17" s="128" t="s">
        <v>57</v>
      </c>
      <c r="B17" s="145" t="s">
        <v>140</v>
      </c>
      <c r="C17" s="196"/>
      <c r="D17" s="197"/>
      <c r="E17" s="146"/>
      <c r="F17" s="147"/>
    </row>
    <row r="18" spans="1:6">
      <c r="A18" s="199"/>
      <c r="B18" s="200" t="s">
        <v>77</v>
      </c>
      <c r="C18" s="201" t="s">
        <v>47</v>
      </c>
      <c r="D18" s="202">
        <f>(354.45*0.9)*0.3</f>
        <v>95.701499999999996</v>
      </c>
      <c r="E18" s="516"/>
      <c r="F18" s="149">
        <f>D18*E18</f>
        <v>0</v>
      </c>
    </row>
    <row r="19" spans="1:6">
      <c r="A19" s="84"/>
      <c r="B19" s="198" t="s">
        <v>76</v>
      </c>
      <c r="C19" s="38" t="s">
        <v>47</v>
      </c>
      <c r="D19" s="39">
        <f>1.65*0.3</f>
        <v>0.49499999999999994</v>
      </c>
      <c r="E19" s="515"/>
      <c r="F19" s="148">
        <f>D19*E19</f>
        <v>0</v>
      </c>
    </row>
    <row r="20" spans="1:6" ht="25.5">
      <c r="A20" s="128" t="s">
        <v>58</v>
      </c>
      <c r="B20" s="145" t="s">
        <v>141</v>
      </c>
      <c r="C20" s="196"/>
      <c r="D20" s="197"/>
      <c r="E20" s="146"/>
      <c r="F20" s="147"/>
    </row>
    <row r="21" spans="1:6">
      <c r="A21" s="199"/>
      <c r="B21" s="200" t="s">
        <v>77</v>
      </c>
      <c r="C21" s="201" t="s">
        <v>47</v>
      </c>
      <c r="D21" s="202">
        <f>(354.45*0.9)*0.7</f>
        <v>223.30349999999999</v>
      </c>
      <c r="E21" s="516"/>
      <c r="F21" s="149">
        <f>D21*E21</f>
        <v>0</v>
      </c>
    </row>
    <row r="22" spans="1:6">
      <c r="A22" s="84"/>
      <c r="B22" s="198" t="s">
        <v>76</v>
      </c>
      <c r="C22" s="38" t="s">
        <v>47</v>
      </c>
      <c r="D22" s="39">
        <f>1.65*0.7</f>
        <v>1.1549999999999998</v>
      </c>
      <c r="E22" s="515"/>
      <c r="F22" s="148">
        <f>D22*E22</f>
        <v>0</v>
      </c>
    </row>
    <row r="23" spans="1:6" ht="38.25">
      <c r="A23" s="85" t="s">
        <v>59</v>
      </c>
      <c r="B23" s="145" t="s">
        <v>79</v>
      </c>
      <c r="C23" s="21" t="s">
        <v>47</v>
      </c>
      <c r="D23" s="202">
        <f>354.45*0.1</f>
        <v>35.445</v>
      </c>
      <c r="E23" s="517"/>
      <c r="F23" s="41">
        <f>D23*E23</f>
        <v>0</v>
      </c>
    </row>
    <row r="24" spans="1:6" ht="63.75">
      <c r="A24" s="85" t="s">
        <v>60</v>
      </c>
      <c r="B24" s="20" t="s">
        <v>73</v>
      </c>
      <c r="C24" s="21" t="s">
        <v>6</v>
      </c>
      <c r="D24" s="22">
        <v>3</v>
      </c>
      <c r="E24" s="518"/>
      <c r="F24" s="41">
        <f t="shared" ref="F24:F37" si="1">D24*E24</f>
        <v>0</v>
      </c>
    </row>
    <row r="25" spans="1:6" ht="25.5">
      <c r="A25" s="85" t="s">
        <v>61</v>
      </c>
      <c r="B25" s="176" t="s">
        <v>44</v>
      </c>
      <c r="C25" s="26" t="s">
        <v>48</v>
      </c>
      <c r="D25" s="22">
        <f>155*0.8</f>
        <v>124</v>
      </c>
      <c r="E25" s="512"/>
      <c r="F25" s="41">
        <f t="shared" si="1"/>
        <v>0</v>
      </c>
    </row>
    <row r="26" spans="1:6" ht="51">
      <c r="A26" s="85" t="s">
        <v>62</v>
      </c>
      <c r="B26" s="135" t="s">
        <v>85</v>
      </c>
      <c r="C26" s="21" t="s">
        <v>47</v>
      </c>
      <c r="D26" s="22">
        <f>19.19*1.1</f>
        <v>21.109000000000002</v>
      </c>
      <c r="E26" s="512"/>
      <c r="F26" s="41">
        <f t="shared" si="1"/>
        <v>0</v>
      </c>
    </row>
    <row r="27" spans="1:6" ht="51">
      <c r="A27" s="85" t="s">
        <v>63</v>
      </c>
      <c r="B27" s="135" t="s">
        <v>86</v>
      </c>
      <c r="C27" s="21" t="s">
        <v>47</v>
      </c>
      <c r="D27" s="22">
        <f>48.45*1.1</f>
        <v>53.295000000000009</v>
      </c>
      <c r="E27" s="512"/>
      <c r="F27" s="41">
        <f t="shared" si="1"/>
        <v>0</v>
      </c>
    </row>
    <row r="28" spans="1:6" ht="89.25">
      <c r="A28" s="85" t="s">
        <v>64</v>
      </c>
      <c r="B28" s="20" t="s">
        <v>142</v>
      </c>
      <c r="C28" s="21" t="s">
        <v>47</v>
      </c>
      <c r="D28" s="22">
        <f>280.24*0.3</f>
        <v>84.072000000000003</v>
      </c>
      <c r="E28" s="512"/>
      <c r="F28" s="41">
        <f t="shared" si="1"/>
        <v>0</v>
      </c>
    </row>
    <row r="29" spans="1:6" ht="63.75">
      <c r="A29" s="85" t="s">
        <v>65</v>
      </c>
      <c r="B29" s="20" t="s">
        <v>132</v>
      </c>
      <c r="C29" s="21" t="s">
        <v>47</v>
      </c>
      <c r="D29" s="22">
        <f>280.24*0.7</f>
        <v>196.16800000000001</v>
      </c>
      <c r="E29" s="512"/>
      <c r="F29" s="41">
        <f t="shared" si="1"/>
        <v>0</v>
      </c>
    </row>
    <row r="30" spans="1:6" ht="38.25">
      <c r="A30" s="85" t="s">
        <v>66</v>
      </c>
      <c r="B30" s="140" t="s">
        <v>133</v>
      </c>
      <c r="C30" s="21" t="s">
        <v>47</v>
      </c>
      <c r="D30" s="22">
        <f>61*2.5*0.3*1.1</f>
        <v>50.325000000000003</v>
      </c>
      <c r="E30" s="512"/>
      <c r="F30" s="41">
        <f t="shared" si="1"/>
        <v>0</v>
      </c>
    </row>
    <row r="31" spans="1:6" ht="25.5">
      <c r="A31" s="85" t="s">
        <v>67</v>
      </c>
      <c r="B31" s="42" t="s">
        <v>45</v>
      </c>
      <c r="C31" s="21" t="s">
        <v>9</v>
      </c>
      <c r="D31" s="22">
        <v>155</v>
      </c>
      <c r="E31" s="512"/>
      <c r="F31" s="41">
        <f t="shared" si="1"/>
        <v>0</v>
      </c>
    </row>
    <row r="32" spans="1:6" ht="38.25">
      <c r="A32" s="85" t="s">
        <v>68</v>
      </c>
      <c r="B32" s="42" t="s">
        <v>143</v>
      </c>
      <c r="C32" s="21" t="s">
        <v>47</v>
      </c>
      <c r="D32" s="22">
        <f>(D15+D16+D18+D19+D21+D22-D28-D29)*1.25</f>
        <v>113.95624999999995</v>
      </c>
      <c r="E32" s="512"/>
      <c r="F32" s="41">
        <f t="shared" si="1"/>
        <v>0</v>
      </c>
    </row>
    <row r="33" spans="1:7">
      <c r="A33" s="85" t="s">
        <v>69</v>
      </c>
      <c r="B33" s="20" t="s">
        <v>134</v>
      </c>
      <c r="C33" s="26" t="s">
        <v>48</v>
      </c>
      <c r="D33" s="22">
        <f>61*2.5</f>
        <v>152.5</v>
      </c>
      <c r="E33" s="512"/>
      <c r="F33" s="41">
        <f t="shared" si="1"/>
        <v>0</v>
      </c>
    </row>
    <row r="34" spans="1:7" s="191" customFormat="1">
      <c r="A34" s="85" t="s">
        <v>70</v>
      </c>
      <c r="B34" s="176" t="s">
        <v>117</v>
      </c>
      <c r="C34" s="26" t="s">
        <v>48</v>
      </c>
      <c r="D34" s="22">
        <f>D33*1.1</f>
        <v>167.75</v>
      </c>
      <c r="E34" s="512"/>
      <c r="F34" s="41">
        <f t="shared" si="1"/>
        <v>0</v>
      </c>
      <c r="G34" s="12"/>
    </row>
    <row r="35" spans="1:7" ht="38.25">
      <c r="A35" s="85" t="s">
        <v>71</v>
      </c>
      <c r="B35" s="42" t="s">
        <v>88</v>
      </c>
      <c r="C35" s="21" t="s">
        <v>47</v>
      </c>
      <c r="D35" s="22">
        <f>D13</f>
        <v>16.38</v>
      </c>
      <c r="E35" s="512"/>
      <c r="F35" s="41">
        <f t="shared" si="1"/>
        <v>0</v>
      </c>
    </row>
    <row r="36" spans="1:7" ht="25.5">
      <c r="A36" s="85" t="s">
        <v>80</v>
      </c>
      <c r="B36" s="42" t="s">
        <v>135</v>
      </c>
      <c r="C36" s="21" t="s">
        <v>47</v>
      </c>
      <c r="D36" s="22">
        <f>D14</f>
        <v>38.22</v>
      </c>
      <c r="E36" s="512"/>
      <c r="F36" s="41">
        <f t="shared" si="1"/>
        <v>0</v>
      </c>
    </row>
    <row r="37" spans="1:7" ht="26.25" thickBot="1">
      <c r="A37" s="85" t="s">
        <v>103</v>
      </c>
      <c r="B37" s="177" t="s">
        <v>74</v>
      </c>
      <c r="C37" s="21" t="s">
        <v>48</v>
      </c>
      <c r="D37" s="22">
        <f>(D35+D36)/0.2</f>
        <v>272.99999999999994</v>
      </c>
      <c r="E37" s="512"/>
      <c r="F37" s="41">
        <f t="shared" si="1"/>
        <v>0</v>
      </c>
    </row>
    <row r="38" spans="1:7" ht="15" thickBot="1">
      <c r="A38" s="125" t="s">
        <v>36</v>
      </c>
      <c r="B38" s="126" t="s">
        <v>11</v>
      </c>
      <c r="C38" s="44"/>
      <c r="D38" s="45"/>
      <c r="E38" s="72"/>
      <c r="F38" s="127">
        <f>SUM(F13:F37)</f>
        <v>0</v>
      </c>
      <c r="G38" s="9"/>
    </row>
    <row r="39" spans="1:7" ht="15" thickBot="1">
      <c r="A39" s="86"/>
      <c r="B39" s="203"/>
      <c r="C39" s="204"/>
      <c r="D39" s="205"/>
      <c r="E39" s="73"/>
      <c r="F39" s="66"/>
      <c r="G39" s="9"/>
    </row>
    <row r="40" spans="1:7" ht="15" thickBot="1">
      <c r="A40" s="90"/>
      <c r="B40" s="46" t="s">
        <v>37</v>
      </c>
      <c r="C40" s="47"/>
      <c r="D40" s="48"/>
      <c r="E40" s="74"/>
      <c r="F40" s="75"/>
      <c r="G40" s="9"/>
    </row>
    <row r="41" spans="1:7" ht="63.75">
      <c r="A41" s="88"/>
      <c r="B41" s="49" t="s">
        <v>24</v>
      </c>
      <c r="C41" s="17"/>
      <c r="D41" s="18"/>
      <c r="E41" s="64"/>
      <c r="F41" s="19"/>
      <c r="G41" s="9"/>
    </row>
    <row r="42" spans="1:7" ht="76.5">
      <c r="A42" s="89">
        <v>1</v>
      </c>
      <c r="B42" s="42" t="s">
        <v>98</v>
      </c>
      <c r="C42" s="21" t="s">
        <v>9</v>
      </c>
      <c r="D42" s="22">
        <v>165</v>
      </c>
      <c r="E42" s="519"/>
      <c r="F42" s="43">
        <f t="shared" ref="F42:F44" si="2">D42*E42</f>
        <v>0</v>
      </c>
      <c r="G42" s="9"/>
    </row>
    <row r="43" spans="1:7">
      <c r="A43" s="133"/>
      <c r="B43" s="207" t="s">
        <v>136</v>
      </c>
      <c r="C43" s="201" t="s">
        <v>6</v>
      </c>
      <c r="D43" s="22">
        <v>4</v>
      </c>
      <c r="E43" s="519"/>
      <c r="F43" s="43">
        <f t="shared" si="2"/>
        <v>0</v>
      </c>
      <c r="G43" s="9"/>
    </row>
    <row r="44" spans="1:7">
      <c r="A44" s="89"/>
      <c r="B44" s="207" t="s">
        <v>144</v>
      </c>
      <c r="C44" s="21" t="s">
        <v>6</v>
      </c>
      <c r="D44" s="22">
        <v>10</v>
      </c>
      <c r="E44" s="519"/>
      <c r="F44" s="43">
        <f t="shared" si="2"/>
        <v>0</v>
      </c>
      <c r="G44" s="9"/>
    </row>
    <row r="45" spans="1:7" ht="191.25">
      <c r="A45" s="129" t="s">
        <v>55</v>
      </c>
      <c r="B45" s="208" t="s">
        <v>100</v>
      </c>
      <c r="C45" s="196"/>
      <c r="D45" s="197"/>
      <c r="E45" s="209"/>
      <c r="F45" s="130"/>
      <c r="G45" s="9"/>
    </row>
    <row r="46" spans="1:7">
      <c r="A46" s="133"/>
      <c r="B46" s="207" t="s">
        <v>30</v>
      </c>
      <c r="C46" s="201" t="s">
        <v>6</v>
      </c>
      <c r="D46" s="202">
        <v>7</v>
      </c>
      <c r="E46" s="520"/>
      <c r="F46" s="134">
        <f t="shared" ref="F46:F53" si="3">D46*E46</f>
        <v>0</v>
      </c>
      <c r="G46" s="9"/>
    </row>
    <row r="47" spans="1:7">
      <c r="A47" s="133"/>
      <c r="B47" s="207" t="s">
        <v>145</v>
      </c>
      <c r="C47" s="201" t="s">
        <v>6</v>
      </c>
      <c r="D47" s="202">
        <v>1</v>
      </c>
      <c r="E47" s="520"/>
      <c r="F47" s="134">
        <f t="shared" si="3"/>
        <v>0</v>
      </c>
      <c r="G47" s="9"/>
    </row>
    <row r="48" spans="1:7" ht="51">
      <c r="A48" s="89" t="s">
        <v>56</v>
      </c>
      <c r="B48" s="42" t="s">
        <v>109</v>
      </c>
      <c r="C48" s="21" t="s">
        <v>6</v>
      </c>
      <c r="D48" s="22">
        <v>1</v>
      </c>
      <c r="E48" s="512"/>
      <c r="F48" s="43">
        <f t="shared" si="3"/>
        <v>0</v>
      </c>
      <c r="G48" s="9"/>
    </row>
    <row r="49" spans="1:45" ht="102">
      <c r="A49" s="89" t="s">
        <v>57</v>
      </c>
      <c r="B49" s="176" t="s">
        <v>89</v>
      </c>
      <c r="C49" s="21" t="s">
        <v>6</v>
      </c>
      <c r="D49" s="22">
        <v>3</v>
      </c>
      <c r="E49" s="518"/>
      <c r="F49" s="43">
        <f t="shared" si="3"/>
        <v>0</v>
      </c>
      <c r="G49" s="9"/>
    </row>
    <row r="50" spans="1:45" ht="51">
      <c r="A50" s="89" t="s">
        <v>58</v>
      </c>
      <c r="B50" s="20" t="s">
        <v>90</v>
      </c>
      <c r="C50" s="21" t="s">
        <v>6</v>
      </c>
      <c r="D50" s="22">
        <v>3</v>
      </c>
      <c r="E50" s="518"/>
      <c r="F50" s="43">
        <f t="shared" si="3"/>
        <v>0</v>
      </c>
      <c r="G50" s="9"/>
    </row>
    <row r="51" spans="1:45" ht="38.25">
      <c r="A51" s="89" t="s">
        <v>59</v>
      </c>
      <c r="B51" s="142" t="s">
        <v>91</v>
      </c>
      <c r="C51" s="21" t="s">
        <v>6</v>
      </c>
      <c r="D51" s="143">
        <v>3</v>
      </c>
      <c r="E51" s="513"/>
      <c r="F51" s="43">
        <f t="shared" si="3"/>
        <v>0</v>
      </c>
    </row>
    <row r="52" spans="1:45" ht="89.25">
      <c r="A52" s="89" t="s">
        <v>60</v>
      </c>
      <c r="B52" s="176" t="s">
        <v>81</v>
      </c>
      <c r="C52" s="21" t="s">
        <v>9</v>
      </c>
      <c r="D52" s="22">
        <f>3*8</f>
        <v>24</v>
      </c>
      <c r="E52" s="518"/>
      <c r="F52" s="43">
        <f t="shared" si="3"/>
        <v>0</v>
      </c>
    </row>
    <row r="53" spans="1:45" ht="15" thickBot="1">
      <c r="A53" s="131"/>
      <c r="B53" s="210" t="s">
        <v>115</v>
      </c>
      <c r="C53" s="38" t="s">
        <v>6</v>
      </c>
      <c r="D53" s="39">
        <v>3</v>
      </c>
      <c r="E53" s="522"/>
      <c r="F53" s="132">
        <f t="shared" si="3"/>
        <v>0</v>
      </c>
    </row>
    <row r="54" spans="1:45" ht="15" thickBot="1">
      <c r="A54" s="122" t="s">
        <v>38</v>
      </c>
      <c r="B54" s="124" t="s">
        <v>26</v>
      </c>
      <c r="C54" s="50"/>
      <c r="D54" s="51"/>
      <c r="E54" s="76"/>
      <c r="F54" s="123">
        <f>SUM(F42:F53)</f>
        <v>0</v>
      </c>
    </row>
    <row r="55" spans="1:45" ht="15" thickBot="1">
      <c r="A55" s="86"/>
      <c r="B55" s="31"/>
      <c r="C55" s="32"/>
      <c r="D55" s="33"/>
      <c r="E55" s="66"/>
      <c r="F55" s="66"/>
    </row>
    <row r="56" spans="1:45" ht="15" thickBot="1">
      <c r="A56" s="87"/>
      <c r="B56" s="52" t="s">
        <v>39</v>
      </c>
      <c r="C56" s="53"/>
      <c r="D56" s="54"/>
      <c r="E56" s="77"/>
      <c r="F56" s="78"/>
    </row>
    <row r="57" spans="1:45" ht="63.75">
      <c r="A57" s="84"/>
      <c r="B57" s="37" t="s">
        <v>8</v>
      </c>
      <c r="C57" s="38"/>
      <c r="D57" s="39"/>
      <c r="E57" s="70"/>
      <c r="F57" s="71"/>
    </row>
    <row r="58" spans="1:45" ht="25.5">
      <c r="A58" s="85" t="s">
        <v>54</v>
      </c>
      <c r="B58" s="55" t="s">
        <v>42</v>
      </c>
      <c r="C58" s="26" t="s">
        <v>9</v>
      </c>
      <c r="D58" s="81">
        <v>155</v>
      </c>
      <c r="E58" s="524"/>
      <c r="F58" s="23">
        <f t="shared" ref="F58:F62" si="4">D58*E58</f>
        <v>0</v>
      </c>
    </row>
    <row r="59" spans="1:45" ht="25.5">
      <c r="A59" s="85" t="s">
        <v>55</v>
      </c>
      <c r="B59" s="55" t="s">
        <v>104</v>
      </c>
      <c r="C59" s="26" t="s">
        <v>9</v>
      </c>
      <c r="D59" s="81">
        <v>155</v>
      </c>
      <c r="E59" s="524"/>
      <c r="F59" s="23">
        <f>D59*E59</f>
        <v>0</v>
      </c>
    </row>
    <row r="60" spans="1:45">
      <c r="A60" s="85" t="s">
        <v>56</v>
      </c>
      <c r="B60" s="55" t="s">
        <v>105</v>
      </c>
      <c r="C60" s="26" t="s">
        <v>9</v>
      </c>
      <c r="D60" s="81">
        <v>155</v>
      </c>
      <c r="E60" s="524"/>
      <c r="F60" s="23">
        <f>D60*E60</f>
        <v>0</v>
      </c>
    </row>
    <row r="61" spans="1:45" ht="25.5">
      <c r="A61" s="85" t="s">
        <v>57</v>
      </c>
      <c r="B61" s="24" t="s">
        <v>94</v>
      </c>
      <c r="C61" s="21" t="s">
        <v>47</v>
      </c>
      <c r="D61" s="22">
        <v>3</v>
      </c>
      <c r="E61" s="512"/>
      <c r="F61" s="23">
        <f t="shared" ref="F61" si="5">D61*E61</f>
        <v>0</v>
      </c>
      <c r="H61" s="183"/>
      <c r="I61" s="183"/>
      <c r="J61" s="183"/>
      <c r="K61" s="183"/>
      <c r="L61" s="183"/>
      <c r="M61" s="183"/>
      <c r="N61" s="183"/>
      <c r="O61" s="183"/>
      <c r="P61" s="183"/>
      <c r="Q61" s="183"/>
      <c r="R61" s="183"/>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row>
    <row r="62" spans="1:45" ht="51">
      <c r="A62" s="85" t="s">
        <v>58</v>
      </c>
      <c r="B62" s="24" t="s">
        <v>21</v>
      </c>
      <c r="C62" s="21" t="s">
        <v>6</v>
      </c>
      <c r="D62" s="22">
        <v>2</v>
      </c>
      <c r="E62" s="512"/>
      <c r="F62" s="23">
        <f t="shared" si="4"/>
        <v>0</v>
      </c>
    </row>
    <row r="63" spans="1:45" s="150" customFormat="1" ht="51">
      <c r="A63" s="85" t="s">
        <v>59</v>
      </c>
      <c r="B63" s="24" t="s">
        <v>96</v>
      </c>
      <c r="C63" s="21" t="s">
        <v>6</v>
      </c>
      <c r="D63" s="22">
        <v>1</v>
      </c>
      <c r="E63" s="512"/>
      <c r="F63" s="23">
        <f>D63*E63</f>
        <v>0</v>
      </c>
      <c r="G63" s="58"/>
    </row>
    <row r="64" spans="1:45" s="150" customFormat="1" ht="51.75" thickBot="1">
      <c r="A64" s="85" t="s">
        <v>60</v>
      </c>
      <c r="B64" s="24" t="s">
        <v>617</v>
      </c>
      <c r="C64" s="21" t="s">
        <v>6</v>
      </c>
      <c r="D64" s="22">
        <v>1</v>
      </c>
      <c r="E64" s="512"/>
      <c r="F64" s="23">
        <f>D64*E64</f>
        <v>0</v>
      </c>
      <c r="G64" s="58"/>
    </row>
    <row r="65" spans="1:7" ht="15" thickBot="1">
      <c r="A65" s="119" t="s">
        <v>40</v>
      </c>
      <c r="B65" s="120" t="s">
        <v>10</v>
      </c>
      <c r="C65" s="56"/>
      <c r="D65" s="57"/>
      <c r="E65" s="79"/>
      <c r="F65" s="121">
        <f>SUM(F58:F64)</f>
        <v>0</v>
      </c>
      <c r="G65" s="9"/>
    </row>
    <row r="66" spans="1:7" ht="15" thickBot="1">
      <c r="G66" s="9"/>
    </row>
    <row r="67" spans="1:7" ht="15" thickBot="1">
      <c r="A67" s="169"/>
      <c r="B67" s="170" t="s">
        <v>148</v>
      </c>
      <c r="C67" s="171"/>
      <c r="D67" s="172"/>
      <c r="E67" s="173"/>
      <c r="F67" s="174">
        <f>F8+F38+F54+F65</f>
        <v>0</v>
      </c>
      <c r="G67" s="9"/>
    </row>
    <row r="69" spans="1:7">
      <c r="G69" s="9"/>
    </row>
  </sheetData>
  <sheetProtection algorithmName="SHA-512" hashValue="XNAKSP5TmlgpSas8CU79crgwv8jlJDmuNuexGTWWdOxwd7FVHVcjtoIL45qOstwB5tDOBMnQwEE3AVmhEOHEWg==" saltValue="s0F/kJ4PawDnzxCAKkw+u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38"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AS57"/>
  <sheetViews>
    <sheetView view="pageBreakPreview" topLeftCell="A44" zoomScaleNormal="100" zoomScaleSheetLayoutView="100" workbookViewId="0">
      <selection activeCell="E47" sqref="E47:E52"/>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413</v>
      </c>
      <c r="B1" s="178" t="s">
        <v>146</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105</v>
      </c>
      <c r="E5" s="512"/>
      <c r="F5" s="23">
        <f t="shared" ref="F5:F7" si="0">D5*E5</f>
        <v>0</v>
      </c>
    </row>
    <row r="6" spans="1:6" ht="25.5">
      <c r="A6" s="85" t="s">
        <v>55</v>
      </c>
      <c r="B6" s="24" t="s">
        <v>28</v>
      </c>
      <c r="C6" s="21" t="s">
        <v>6</v>
      </c>
      <c r="D6" s="22">
        <f>1+5+1</f>
        <v>7</v>
      </c>
      <c r="E6" s="512"/>
      <c r="F6" s="23">
        <f t="shared" si="0"/>
        <v>0</v>
      </c>
    </row>
    <row r="7" spans="1:6" ht="39" thickBot="1">
      <c r="A7" s="84" t="s">
        <v>56</v>
      </c>
      <c r="B7" s="20" t="s">
        <v>83</v>
      </c>
      <c r="C7" s="21" t="s">
        <v>47</v>
      </c>
      <c r="D7" s="22">
        <v>3</v>
      </c>
      <c r="E7" s="512"/>
      <c r="F7" s="23">
        <f t="shared" si="0"/>
        <v>0</v>
      </c>
    </row>
    <row r="8" spans="1:6" ht="15" thickBot="1">
      <c r="A8" s="116" t="s">
        <v>34</v>
      </c>
      <c r="B8" s="28" t="s">
        <v>12</v>
      </c>
      <c r="C8" s="29"/>
      <c r="D8" s="30"/>
      <c r="E8" s="65"/>
      <c r="F8" s="117">
        <f>SUM(F5:F7)</f>
        <v>0</v>
      </c>
    </row>
    <row r="9" spans="1:6" ht="15" thickBot="1">
      <c r="A9" s="86"/>
      <c r="B9" s="31"/>
      <c r="C9" s="32"/>
      <c r="D9" s="33"/>
      <c r="E9" s="66"/>
      <c r="F9" s="67"/>
    </row>
    <row r="10" spans="1:6" ht="15" thickBot="1">
      <c r="A10" s="87"/>
      <c r="B10" s="34" t="s">
        <v>35</v>
      </c>
      <c r="C10" s="35"/>
      <c r="D10" s="36"/>
      <c r="E10" s="68"/>
      <c r="F10" s="69"/>
    </row>
    <row r="11" spans="1:6" ht="51">
      <c r="A11" s="88"/>
      <c r="B11" s="37" t="s">
        <v>52</v>
      </c>
      <c r="C11" s="38"/>
      <c r="D11" s="39"/>
      <c r="E11" s="70"/>
      <c r="F11" s="71"/>
    </row>
    <row r="12" spans="1:6" ht="38.25">
      <c r="A12" s="84"/>
      <c r="B12" s="40" t="s">
        <v>25</v>
      </c>
      <c r="C12" s="21"/>
      <c r="D12" s="22"/>
      <c r="E12" s="27"/>
      <c r="F12" s="23"/>
    </row>
    <row r="13" spans="1:6" ht="38.25">
      <c r="A13" s="85" t="s">
        <v>54</v>
      </c>
      <c r="B13" s="20" t="s">
        <v>128</v>
      </c>
      <c r="C13" s="21" t="s">
        <v>47</v>
      </c>
      <c r="D13" s="22">
        <f>105*3*0.2</f>
        <v>63</v>
      </c>
      <c r="E13" s="512"/>
      <c r="F13" s="23">
        <f>D13*E13</f>
        <v>0</v>
      </c>
    </row>
    <row r="14" spans="1:6">
      <c r="A14" s="85" t="s">
        <v>55</v>
      </c>
      <c r="B14" s="20" t="s">
        <v>43</v>
      </c>
      <c r="C14" s="21" t="s">
        <v>47</v>
      </c>
      <c r="D14" s="22">
        <v>5</v>
      </c>
      <c r="E14" s="512"/>
      <c r="F14" s="23">
        <f>D14*E14</f>
        <v>0</v>
      </c>
    </row>
    <row r="15" spans="1:6" ht="25.5">
      <c r="A15" s="128" t="s">
        <v>56</v>
      </c>
      <c r="B15" s="145" t="s">
        <v>141</v>
      </c>
      <c r="C15" s="196"/>
      <c r="D15" s="197"/>
      <c r="E15" s="146"/>
      <c r="F15" s="147"/>
    </row>
    <row r="16" spans="1:6">
      <c r="A16" s="199"/>
      <c r="B16" s="200" t="s">
        <v>77</v>
      </c>
      <c r="C16" s="201" t="s">
        <v>47</v>
      </c>
      <c r="D16" s="202">
        <f>203*0.9</f>
        <v>182.70000000000002</v>
      </c>
      <c r="E16" s="516"/>
      <c r="F16" s="149">
        <f>D16*E16</f>
        <v>0</v>
      </c>
    </row>
    <row r="17" spans="1:7">
      <c r="A17" s="84"/>
      <c r="B17" s="198" t="s">
        <v>76</v>
      </c>
      <c r="C17" s="38" t="s">
        <v>47</v>
      </c>
      <c r="D17" s="39">
        <v>3.6</v>
      </c>
      <c r="E17" s="515"/>
      <c r="F17" s="148">
        <f>D17*E17</f>
        <v>0</v>
      </c>
    </row>
    <row r="18" spans="1:7" ht="38.25">
      <c r="A18" s="85" t="s">
        <v>57</v>
      </c>
      <c r="B18" s="145" t="s">
        <v>79</v>
      </c>
      <c r="C18" s="21" t="s">
        <v>47</v>
      </c>
      <c r="D18" s="202">
        <f>203*0.1</f>
        <v>20.3</v>
      </c>
      <c r="E18" s="517"/>
      <c r="F18" s="41">
        <f>D18*E18</f>
        <v>0</v>
      </c>
    </row>
    <row r="19" spans="1:7" ht="63.75">
      <c r="A19" s="85" t="s">
        <v>58</v>
      </c>
      <c r="B19" s="20" t="s">
        <v>73</v>
      </c>
      <c r="C19" s="21" t="s">
        <v>6</v>
      </c>
      <c r="D19" s="22">
        <v>3</v>
      </c>
      <c r="E19" s="518"/>
      <c r="F19" s="41">
        <f t="shared" ref="F19:F27" si="1">D19*E19</f>
        <v>0</v>
      </c>
    </row>
    <row r="20" spans="1:7" ht="25.5">
      <c r="A20" s="85" t="s">
        <v>59</v>
      </c>
      <c r="B20" s="176" t="s">
        <v>44</v>
      </c>
      <c r="C20" s="26" t="s">
        <v>48</v>
      </c>
      <c r="D20" s="22">
        <f>105*0.8</f>
        <v>84</v>
      </c>
      <c r="E20" s="512"/>
      <c r="F20" s="41">
        <f t="shared" si="1"/>
        <v>0</v>
      </c>
    </row>
    <row r="21" spans="1:7" ht="51">
      <c r="A21" s="85" t="s">
        <v>60</v>
      </c>
      <c r="B21" s="135" t="s">
        <v>85</v>
      </c>
      <c r="C21" s="21" t="s">
        <v>47</v>
      </c>
      <c r="D21" s="22">
        <f>11.6*1.1</f>
        <v>12.76</v>
      </c>
      <c r="E21" s="512"/>
      <c r="F21" s="41">
        <f t="shared" si="1"/>
        <v>0</v>
      </c>
    </row>
    <row r="22" spans="1:7" ht="51">
      <c r="A22" s="85" t="s">
        <v>61</v>
      </c>
      <c r="B22" s="135" t="s">
        <v>86</v>
      </c>
      <c r="C22" s="21" t="s">
        <v>47</v>
      </c>
      <c r="D22" s="22">
        <f>29.2*1.1</f>
        <v>32.120000000000005</v>
      </c>
      <c r="E22" s="512"/>
      <c r="F22" s="41">
        <f t="shared" si="1"/>
        <v>0</v>
      </c>
    </row>
    <row r="23" spans="1:7" ht="63.75">
      <c r="A23" s="85" t="s">
        <v>62</v>
      </c>
      <c r="B23" s="20" t="s">
        <v>132</v>
      </c>
      <c r="C23" s="21" t="s">
        <v>47</v>
      </c>
      <c r="D23" s="22">
        <v>161.80000000000001</v>
      </c>
      <c r="E23" s="512"/>
      <c r="F23" s="41">
        <f t="shared" si="1"/>
        <v>0</v>
      </c>
    </row>
    <row r="24" spans="1:7" ht="25.5">
      <c r="A24" s="85" t="s">
        <v>63</v>
      </c>
      <c r="B24" s="42" t="s">
        <v>45</v>
      </c>
      <c r="C24" s="21" t="s">
        <v>9</v>
      </c>
      <c r="D24" s="22">
        <v>105</v>
      </c>
      <c r="E24" s="512"/>
      <c r="F24" s="41">
        <f t="shared" si="1"/>
        <v>0</v>
      </c>
    </row>
    <row r="25" spans="1:7" ht="38.25">
      <c r="A25" s="85" t="s">
        <v>64</v>
      </c>
      <c r="B25" s="42" t="s">
        <v>149</v>
      </c>
      <c r="C25" s="21" t="s">
        <v>47</v>
      </c>
      <c r="D25" s="22">
        <f>(D14+D16+D17-D23)*1.25</f>
        <v>36.875</v>
      </c>
      <c r="E25" s="512"/>
      <c r="F25" s="41">
        <f t="shared" si="1"/>
        <v>0</v>
      </c>
    </row>
    <row r="26" spans="1:7" ht="25.5">
      <c r="A26" s="85" t="s">
        <v>65</v>
      </c>
      <c r="B26" s="42" t="s">
        <v>135</v>
      </c>
      <c r="C26" s="21" t="s">
        <v>47</v>
      </c>
      <c r="D26" s="22">
        <f>D13</f>
        <v>63</v>
      </c>
      <c r="E26" s="512"/>
      <c r="F26" s="41">
        <f t="shared" si="1"/>
        <v>0</v>
      </c>
    </row>
    <row r="27" spans="1:7" ht="26.25" thickBot="1">
      <c r="A27" s="85" t="s">
        <v>66</v>
      </c>
      <c r="B27" s="177" t="s">
        <v>74</v>
      </c>
      <c r="C27" s="21" t="s">
        <v>48</v>
      </c>
      <c r="D27" s="22">
        <f>(D26)/0.2</f>
        <v>315</v>
      </c>
      <c r="E27" s="512"/>
      <c r="F27" s="41">
        <f t="shared" si="1"/>
        <v>0</v>
      </c>
    </row>
    <row r="28" spans="1:7" ht="15" thickBot="1">
      <c r="A28" s="125" t="s">
        <v>36</v>
      </c>
      <c r="B28" s="126" t="s">
        <v>11</v>
      </c>
      <c r="C28" s="44"/>
      <c r="D28" s="45"/>
      <c r="E28" s="72"/>
      <c r="F28" s="127">
        <f>SUM(F13:F27)</f>
        <v>0</v>
      </c>
      <c r="G28" s="9"/>
    </row>
    <row r="29" spans="1:7" ht="15" thickBot="1">
      <c r="A29" s="86"/>
      <c r="B29" s="203"/>
      <c r="C29" s="204"/>
      <c r="D29" s="205"/>
      <c r="E29" s="73"/>
      <c r="F29" s="66"/>
      <c r="G29" s="9"/>
    </row>
    <row r="30" spans="1:7" ht="15" thickBot="1">
      <c r="A30" s="90"/>
      <c r="B30" s="46" t="s">
        <v>37</v>
      </c>
      <c r="C30" s="47"/>
      <c r="D30" s="48"/>
      <c r="E30" s="74"/>
      <c r="F30" s="75"/>
      <c r="G30" s="9"/>
    </row>
    <row r="31" spans="1:7" ht="63.75">
      <c r="A31" s="88"/>
      <c r="B31" s="49" t="s">
        <v>24</v>
      </c>
      <c r="C31" s="17"/>
      <c r="D31" s="18"/>
      <c r="E31" s="64"/>
      <c r="F31" s="19"/>
      <c r="G31" s="9"/>
    </row>
    <row r="32" spans="1:7" ht="76.5">
      <c r="A32" s="89">
        <v>1</v>
      </c>
      <c r="B32" s="42" t="s">
        <v>98</v>
      </c>
      <c r="C32" s="21" t="s">
        <v>9</v>
      </c>
      <c r="D32" s="22">
        <v>110</v>
      </c>
      <c r="E32" s="519"/>
      <c r="F32" s="43">
        <f t="shared" ref="F32:F33" si="2">D32*E32</f>
        <v>0</v>
      </c>
      <c r="G32" s="9"/>
    </row>
    <row r="33" spans="1:7">
      <c r="A33" s="89"/>
      <c r="B33" s="207" t="s">
        <v>144</v>
      </c>
      <c r="C33" s="21" t="s">
        <v>6</v>
      </c>
      <c r="D33" s="22">
        <v>15</v>
      </c>
      <c r="E33" s="519"/>
      <c r="F33" s="43">
        <f t="shared" si="2"/>
        <v>0</v>
      </c>
      <c r="G33" s="9"/>
    </row>
    <row r="34" spans="1:7" ht="191.25">
      <c r="A34" s="129" t="s">
        <v>55</v>
      </c>
      <c r="B34" s="208" t="s">
        <v>100</v>
      </c>
      <c r="C34" s="196"/>
      <c r="D34" s="197"/>
      <c r="E34" s="209"/>
      <c r="F34" s="130"/>
      <c r="G34" s="9"/>
    </row>
    <row r="35" spans="1:7">
      <c r="A35" s="133"/>
      <c r="B35" s="207" t="s">
        <v>30</v>
      </c>
      <c r="C35" s="201" t="s">
        <v>6</v>
      </c>
      <c r="D35" s="202">
        <v>4</v>
      </c>
      <c r="E35" s="520"/>
      <c r="F35" s="134">
        <f t="shared" ref="F35:F42" si="3">D35*E35</f>
        <v>0</v>
      </c>
      <c r="G35" s="9"/>
    </row>
    <row r="36" spans="1:7">
      <c r="A36" s="133"/>
      <c r="B36" s="207" t="s">
        <v>145</v>
      </c>
      <c r="C36" s="201" t="s">
        <v>6</v>
      </c>
      <c r="D36" s="202">
        <v>1</v>
      </c>
      <c r="E36" s="520"/>
      <c r="F36" s="134">
        <f t="shared" si="3"/>
        <v>0</v>
      </c>
      <c r="G36" s="9"/>
    </row>
    <row r="37" spans="1:7" ht="51">
      <c r="A37" s="89" t="s">
        <v>56</v>
      </c>
      <c r="B37" s="42" t="s">
        <v>109</v>
      </c>
      <c r="C37" s="21" t="s">
        <v>6</v>
      </c>
      <c r="D37" s="22">
        <v>1</v>
      </c>
      <c r="E37" s="512"/>
      <c r="F37" s="43">
        <f t="shared" si="3"/>
        <v>0</v>
      </c>
      <c r="G37" s="9"/>
    </row>
    <row r="38" spans="1:7" ht="102">
      <c r="A38" s="89" t="s">
        <v>57</v>
      </c>
      <c r="B38" s="176" t="s">
        <v>89</v>
      </c>
      <c r="C38" s="21" t="s">
        <v>6</v>
      </c>
      <c r="D38" s="22">
        <v>1</v>
      </c>
      <c r="E38" s="518"/>
      <c r="F38" s="43">
        <f t="shared" si="3"/>
        <v>0</v>
      </c>
      <c r="G38" s="9"/>
    </row>
    <row r="39" spans="1:7" ht="51">
      <c r="A39" s="89" t="s">
        <v>58</v>
      </c>
      <c r="B39" s="20" t="s">
        <v>90</v>
      </c>
      <c r="C39" s="21" t="s">
        <v>6</v>
      </c>
      <c r="D39" s="22">
        <v>1</v>
      </c>
      <c r="E39" s="518"/>
      <c r="F39" s="43">
        <f t="shared" si="3"/>
        <v>0</v>
      </c>
      <c r="G39" s="9"/>
    </row>
    <row r="40" spans="1:7" ht="38.25">
      <c r="A40" s="89" t="s">
        <v>59</v>
      </c>
      <c r="B40" s="142" t="s">
        <v>91</v>
      </c>
      <c r="C40" s="21" t="s">
        <v>6</v>
      </c>
      <c r="D40" s="143">
        <v>1</v>
      </c>
      <c r="E40" s="513"/>
      <c r="F40" s="43">
        <f t="shared" si="3"/>
        <v>0</v>
      </c>
    </row>
    <row r="41" spans="1:7" ht="89.25">
      <c r="A41" s="89" t="s">
        <v>60</v>
      </c>
      <c r="B41" s="176" t="s">
        <v>81</v>
      </c>
      <c r="C41" s="21" t="s">
        <v>9</v>
      </c>
      <c r="D41" s="22">
        <v>8</v>
      </c>
      <c r="E41" s="518"/>
      <c r="F41" s="43">
        <f t="shared" si="3"/>
        <v>0</v>
      </c>
    </row>
    <row r="42" spans="1:7" ht="15" thickBot="1">
      <c r="A42" s="131"/>
      <c r="B42" s="210" t="s">
        <v>115</v>
      </c>
      <c r="C42" s="38" t="s">
        <v>6</v>
      </c>
      <c r="D42" s="39">
        <v>1</v>
      </c>
      <c r="E42" s="522"/>
      <c r="F42" s="132">
        <f t="shared" si="3"/>
        <v>0</v>
      </c>
    </row>
    <row r="43" spans="1:7" ht="15" thickBot="1">
      <c r="A43" s="122" t="s">
        <v>38</v>
      </c>
      <c r="B43" s="124" t="s">
        <v>26</v>
      </c>
      <c r="C43" s="50"/>
      <c r="D43" s="51"/>
      <c r="E43" s="76"/>
      <c r="F43" s="123">
        <f>SUM(F32:F42)</f>
        <v>0</v>
      </c>
    </row>
    <row r="44" spans="1:7" ht="15" thickBot="1">
      <c r="A44" s="86"/>
      <c r="B44" s="31"/>
      <c r="C44" s="32"/>
      <c r="D44" s="33"/>
      <c r="E44" s="66"/>
      <c r="F44" s="66"/>
    </row>
    <row r="45" spans="1:7" ht="15" thickBot="1">
      <c r="A45" s="87"/>
      <c r="B45" s="52" t="s">
        <v>39</v>
      </c>
      <c r="C45" s="53"/>
      <c r="D45" s="54"/>
      <c r="E45" s="77"/>
      <c r="F45" s="78"/>
    </row>
    <row r="46" spans="1:7" ht="63.75">
      <c r="A46" s="84"/>
      <c r="B46" s="37" t="s">
        <v>8</v>
      </c>
      <c r="C46" s="38"/>
      <c r="D46" s="39"/>
      <c r="E46" s="70"/>
      <c r="F46" s="71"/>
    </row>
    <row r="47" spans="1:7" ht="25.5">
      <c r="A47" s="85" t="s">
        <v>54</v>
      </c>
      <c r="B47" s="55" t="s">
        <v>42</v>
      </c>
      <c r="C47" s="26" t="s">
        <v>9</v>
      </c>
      <c r="D47" s="81">
        <v>105</v>
      </c>
      <c r="E47" s="524"/>
      <c r="F47" s="23">
        <f t="shared" ref="F47:F51" si="4">D47*E47</f>
        <v>0</v>
      </c>
    </row>
    <row r="48" spans="1:7" ht="25.5">
      <c r="A48" s="85" t="s">
        <v>55</v>
      </c>
      <c r="B48" s="55" t="s">
        <v>104</v>
      </c>
      <c r="C48" s="26" t="s">
        <v>9</v>
      </c>
      <c r="D48" s="81">
        <v>105</v>
      </c>
      <c r="E48" s="524"/>
      <c r="F48" s="23">
        <f>D48*E48</f>
        <v>0</v>
      </c>
    </row>
    <row r="49" spans="1:45">
      <c r="A49" s="85" t="s">
        <v>56</v>
      </c>
      <c r="B49" s="55" t="s">
        <v>105</v>
      </c>
      <c r="C49" s="26" t="s">
        <v>9</v>
      </c>
      <c r="D49" s="81">
        <v>105</v>
      </c>
      <c r="E49" s="524"/>
      <c r="F49" s="23">
        <f>D49*E49</f>
        <v>0</v>
      </c>
    </row>
    <row r="50" spans="1:45" ht="25.5">
      <c r="A50" s="85" t="s">
        <v>57</v>
      </c>
      <c r="B50" s="24" t="s">
        <v>94</v>
      </c>
      <c r="C50" s="21" t="s">
        <v>47</v>
      </c>
      <c r="D50" s="22">
        <v>3</v>
      </c>
      <c r="E50" s="512"/>
      <c r="F50" s="23">
        <f t="shared" ref="F50" si="5">D50*E50</f>
        <v>0</v>
      </c>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row>
    <row r="51" spans="1:45" ht="51">
      <c r="A51" s="85" t="s">
        <v>58</v>
      </c>
      <c r="B51" s="24" t="s">
        <v>21</v>
      </c>
      <c r="C51" s="21" t="s">
        <v>6</v>
      </c>
      <c r="D51" s="22">
        <v>1</v>
      </c>
      <c r="E51" s="512"/>
      <c r="F51" s="23">
        <f t="shared" si="4"/>
        <v>0</v>
      </c>
    </row>
    <row r="52" spans="1:45" s="150" customFormat="1" ht="51.75" thickBot="1">
      <c r="A52" s="85" t="s">
        <v>59</v>
      </c>
      <c r="B52" s="24" t="s">
        <v>96</v>
      </c>
      <c r="C52" s="21" t="s">
        <v>6</v>
      </c>
      <c r="D52" s="22">
        <v>1</v>
      </c>
      <c r="E52" s="512"/>
      <c r="F52" s="23">
        <f>D52*E52</f>
        <v>0</v>
      </c>
      <c r="G52" s="58"/>
    </row>
    <row r="53" spans="1:45" ht="15" thickBot="1">
      <c r="A53" s="119" t="s">
        <v>40</v>
      </c>
      <c r="B53" s="120" t="s">
        <v>10</v>
      </c>
      <c r="C53" s="56"/>
      <c r="D53" s="79"/>
      <c r="E53" s="79"/>
      <c r="F53" s="121">
        <f>SUM(F47:F52)</f>
        <v>0</v>
      </c>
      <c r="G53" s="9"/>
    </row>
    <row r="54" spans="1:45" ht="15" thickBot="1">
      <c r="G54" s="9"/>
    </row>
    <row r="55" spans="1:45" ht="15" thickBot="1">
      <c r="A55" s="169"/>
      <c r="B55" s="170" t="s">
        <v>147</v>
      </c>
      <c r="C55" s="171"/>
      <c r="D55" s="172"/>
      <c r="E55" s="173"/>
      <c r="F55" s="174">
        <f>F8+F28+F43+F53</f>
        <v>0</v>
      </c>
      <c r="G55" s="9"/>
    </row>
    <row r="57" spans="1:45">
      <c r="G57" s="9"/>
    </row>
  </sheetData>
  <sheetProtection algorithmName="SHA-512" hashValue="9f/8DFibs9KM5oradAB5kiAXIWqYY0dlet1m9TNbSLNjhefEWIR1nD2EaVZkYG5DqRTG4gaSUkPFJN0N/MVHSQ==" saltValue="2INiEIpQtli0i77GoyXpK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G72"/>
  <sheetViews>
    <sheetView view="pageBreakPreview" topLeftCell="A53" zoomScaleNormal="100" zoomScaleSheetLayoutView="100" workbookViewId="0">
      <selection activeCell="E60" activeCellId="8" sqref="E5:E9 E15:E17 E19 E21 E23 E24:E40 E45:E47 E49:E55 E60:E67"/>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414</v>
      </c>
      <c r="B1" s="178" t="s">
        <v>150</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150</v>
      </c>
      <c r="E5" s="512"/>
      <c r="F5" s="23">
        <f t="shared" ref="F5:F9" si="0">D5*E5</f>
        <v>0</v>
      </c>
    </row>
    <row r="6" spans="1:6" ht="25.5">
      <c r="A6" s="85" t="s">
        <v>55</v>
      </c>
      <c r="B6" s="24" t="s">
        <v>28</v>
      </c>
      <c r="C6" s="21" t="s">
        <v>6</v>
      </c>
      <c r="D6" s="22">
        <f>1+6+3</f>
        <v>10</v>
      </c>
      <c r="E6" s="512"/>
      <c r="F6" s="23">
        <f t="shared" si="0"/>
        <v>0</v>
      </c>
    </row>
    <row r="7" spans="1:6" ht="38.25">
      <c r="A7" s="85" t="s">
        <v>56</v>
      </c>
      <c r="B7" s="25" t="s">
        <v>120</v>
      </c>
      <c r="C7" s="21" t="s">
        <v>9</v>
      </c>
      <c r="D7" s="22">
        <v>26</v>
      </c>
      <c r="E7" s="512"/>
      <c r="F7" s="23">
        <f t="shared" si="0"/>
        <v>0</v>
      </c>
    </row>
    <row r="8" spans="1:6" ht="38.25">
      <c r="A8" s="84" t="s">
        <v>57</v>
      </c>
      <c r="B8" s="20" t="s">
        <v>53</v>
      </c>
      <c r="C8" s="26" t="s">
        <v>48</v>
      </c>
      <c r="D8" s="22">
        <v>195</v>
      </c>
      <c r="E8" s="512"/>
      <c r="F8" s="23">
        <f t="shared" si="0"/>
        <v>0</v>
      </c>
    </row>
    <row r="9" spans="1:6" ht="39" thickBot="1">
      <c r="A9" s="84" t="s">
        <v>58</v>
      </c>
      <c r="B9" s="20" t="s">
        <v>83</v>
      </c>
      <c r="C9" s="21" t="s">
        <v>47</v>
      </c>
      <c r="D9" s="22">
        <v>6</v>
      </c>
      <c r="E9" s="512"/>
      <c r="F9" s="23">
        <f t="shared" si="0"/>
        <v>0</v>
      </c>
    </row>
    <row r="10" spans="1:6" ht="15" thickBot="1">
      <c r="A10" s="116" t="s">
        <v>34</v>
      </c>
      <c r="B10" s="28" t="s">
        <v>12</v>
      </c>
      <c r="C10" s="29"/>
      <c r="D10" s="30"/>
      <c r="E10" s="65"/>
      <c r="F10" s="117">
        <f>SUM(F5:F9)</f>
        <v>0</v>
      </c>
    </row>
    <row r="11" spans="1:6" ht="15" thickBot="1">
      <c r="A11" s="86"/>
      <c r="B11" s="31"/>
      <c r="C11" s="32"/>
      <c r="D11" s="33"/>
      <c r="E11" s="66"/>
      <c r="F11" s="67"/>
    </row>
    <row r="12" spans="1:6" ht="15" thickBot="1">
      <c r="A12" s="87"/>
      <c r="B12" s="34" t="s">
        <v>35</v>
      </c>
      <c r="C12" s="35"/>
      <c r="D12" s="36"/>
      <c r="E12" s="68"/>
      <c r="F12" s="69"/>
    </row>
    <row r="13" spans="1:6" ht="51">
      <c r="A13" s="88"/>
      <c r="B13" s="37" t="s">
        <v>52</v>
      </c>
      <c r="C13" s="38"/>
      <c r="D13" s="39"/>
      <c r="E13" s="70"/>
      <c r="F13" s="71"/>
    </row>
    <row r="14" spans="1:6" ht="38.25">
      <c r="A14" s="84"/>
      <c r="B14" s="40" t="s">
        <v>25</v>
      </c>
      <c r="C14" s="21"/>
      <c r="D14" s="22"/>
      <c r="E14" s="27"/>
      <c r="F14" s="23"/>
    </row>
    <row r="15" spans="1:6" ht="38.25">
      <c r="A15" s="85" t="s">
        <v>54</v>
      </c>
      <c r="B15" s="20" t="s">
        <v>128</v>
      </c>
      <c r="C15" s="21" t="s">
        <v>47</v>
      </c>
      <c r="D15" s="22">
        <f>91*3*0.2</f>
        <v>54.6</v>
      </c>
      <c r="E15" s="512"/>
      <c r="F15" s="23">
        <f>D15*E15</f>
        <v>0</v>
      </c>
    </row>
    <row r="16" spans="1:6" ht="25.5">
      <c r="A16" s="85" t="s">
        <v>55</v>
      </c>
      <c r="B16" s="135" t="s">
        <v>102</v>
      </c>
      <c r="C16" s="21" t="s">
        <v>47</v>
      </c>
      <c r="D16" s="22">
        <f>256*0.3</f>
        <v>76.8</v>
      </c>
      <c r="E16" s="512"/>
      <c r="F16" s="23">
        <f>D16*E16</f>
        <v>0</v>
      </c>
    </row>
    <row r="17" spans="1:6">
      <c r="A17" s="85" t="s">
        <v>56</v>
      </c>
      <c r="B17" s="20" t="s">
        <v>43</v>
      </c>
      <c r="C17" s="21" t="s">
        <v>47</v>
      </c>
      <c r="D17" s="22">
        <v>8</v>
      </c>
      <c r="E17" s="512"/>
      <c r="F17" s="23">
        <f>D17*E17</f>
        <v>0</v>
      </c>
    </row>
    <row r="18" spans="1:6" ht="51">
      <c r="A18" s="128" t="s">
        <v>57</v>
      </c>
      <c r="B18" s="145" t="s">
        <v>152</v>
      </c>
      <c r="C18" s="196"/>
      <c r="D18" s="197"/>
      <c r="E18" s="146"/>
      <c r="F18" s="147"/>
    </row>
    <row r="19" spans="1:6">
      <c r="A19" s="84"/>
      <c r="B19" s="198" t="s">
        <v>77</v>
      </c>
      <c r="C19" s="38" t="s">
        <v>47</v>
      </c>
      <c r="D19" s="39">
        <f>111.6*0.9</f>
        <v>100.44</v>
      </c>
      <c r="E19" s="515"/>
      <c r="F19" s="148">
        <f>D19*E19</f>
        <v>0</v>
      </c>
    </row>
    <row r="20" spans="1:6" ht="38.25">
      <c r="A20" s="128" t="s">
        <v>58</v>
      </c>
      <c r="B20" s="145" t="s">
        <v>155</v>
      </c>
      <c r="C20" s="196"/>
      <c r="D20" s="197"/>
      <c r="E20" s="146"/>
      <c r="F20" s="147"/>
    </row>
    <row r="21" spans="1:6">
      <c r="A21" s="199"/>
      <c r="B21" s="200" t="s">
        <v>77</v>
      </c>
      <c r="C21" s="201" t="s">
        <v>47</v>
      </c>
      <c r="D21" s="202">
        <f>256*0.25</f>
        <v>64</v>
      </c>
      <c r="E21" s="516"/>
      <c r="F21" s="149">
        <f>D21*E21</f>
        <v>0</v>
      </c>
    </row>
    <row r="22" spans="1:6" ht="25.5">
      <c r="A22" s="128" t="s">
        <v>59</v>
      </c>
      <c r="B22" s="145" t="s">
        <v>130</v>
      </c>
      <c r="C22" s="196"/>
      <c r="D22" s="197"/>
      <c r="E22" s="146"/>
      <c r="F22" s="147"/>
    </row>
    <row r="23" spans="1:6">
      <c r="A23" s="199"/>
      <c r="B23" s="200" t="s">
        <v>77</v>
      </c>
      <c r="C23" s="201" t="s">
        <v>47</v>
      </c>
      <c r="D23" s="202">
        <f>241*0.9</f>
        <v>216.9</v>
      </c>
      <c r="E23" s="516"/>
      <c r="F23" s="149">
        <f>D23*E23</f>
        <v>0</v>
      </c>
    </row>
    <row r="24" spans="1:6" ht="38.25">
      <c r="A24" s="85" t="s">
        <v>60</v>
      </c>
      <c r="B24" s="145" t="s">
        <v>79</v>
      </c>
      <c r="C24" s="21" t="s">
        <v>47</v>
      </c>
      <c r="D24" s="202">
        <f>(111.6+241)*0.1</f>
        <v>35.260000000000005</v>
      </c>
      <c r="E24" s="517"/>
      <c r="F24" s="41">
        <f>D24*E24</f>
        <v>0</v>
      </c>
    </row>
    <row r="25" spans="1:6" ht="38.25">
      <c r="A25" s="85" t="s">
        <v>61</v>
      </c>
      <c r="B25" s="176" t="s">
        <v>29</v>
      </c>
      <c r="C25" s="21" t="s">
        <v>48</v>
      </c>
      <c r="D25" s="22">
        <f>60*2*1.5</f>
        <v>180</v>
      </c>
      <c r="E25" s="518"/>
      <c r="F25" s="41">
        <f t="shared" ref="F25:F40" si="1">D25*E25</f>
        <v>0</v>
      </c>
    </row>
    <row r="26" spans="1:6" ht="63.75">
      <c r="A26" s="85" t="s">
        <v>62</v>
      </c>
      <c r="B26" s="20" t="s">
        <v>73</v>
      </c>
      <c r="C26" s="21" t="s">
        <v>6</v>
      </c>
      <c r="D26" s="22">
        <v>3</v>
      </c>
      <c r="E26" s="518"/>
      <c r="F26" s="41">
        <f t="shared" si="1"/>
        <v>0</v>
      </c>
    </row>
    <row r="27" spans="1:6" ht="25.5">
      <c r="A27" s="85" t="s">
        <v>63</v>
      </c>
      <c r="B27" s="176" t="s">
        <v>44</v>
      </c>
      <c r="C27" s="26" t="s">
        <v>48</v>
      </c>
      <c r="D27" s="22">
        <f>(60*0.9)+(90*0.8)</f>
        <v>126</v>
      </c>
      <c r="E27" s="512"/>
      <c r="F27" s="41">
        <f t="shared" si="1"/>
        <v>0</v>
      </c>
    </row>
    <row r="28" spans="1:6" ht="51">
      <c r="A28" s="85" t="s">
        <v>64</v>
      </c>
      <c r="B28" s="135" t="s">
        <v>85</v>
      </c>
      <c r="C28" s="21" t="s">
        <v>47</v>
      </c>
      <c r="D28" s="22">
        <f>(12.08+9.38)*1.1</f>
        <v>23.606000000000002</v>
      </c>
      <c r="E28" s="512"/>
      <c r="F28" s="41">
        <f t="shared" si="1"/>
        <v>0</v>
      </c>
    </row>
    <row r="29" spans="1:6" ht="51">
      <c r="A29" s="85" t="s">
        <v>65</v>
      </c>
      <c r="B29" s="135" t="s">
        <v>86</v>
      </c>
      <c r="C29" s="21" t="s">
        <v>47</v>
      </c>
      <c r="D29" s="22">
        <f>(18.69+30.37)*1.1</f>
        <v>53.966000000000008</v>
      </c>
      <c r="E29" s="512"/>
      <c r="F29" s="41">
        <f t="shared" si="1"/>
        <v>0</v>
      </c>
    </row>
    <row r="30" spans="1:6" ht="89.25">
      <c r="A30" s="85" t="s">
        <v>66</v>
      </c>
      <c r="B30" s="176" t="s">
        <v>153</v>
      </c>
      <c r="C30" s="21" t="s">
        <v>47</v>
      </c>
      <c r="D30" s="22">
        <v>65.7</v>
      </c>
      <c r="E30" s="512"/>
      <c r="F30" s="41">
        <f t="shared" si="1"/>
        <v>0</v>
      </c>
    </row>
    <row r="31" spans="1:6" ht="63.75">
      <c r="A31" s="85" t="s">
        <v>67</v>
      </c>
      <c r="B31" s="20" t="s">
        <v>132</v>
      </c>
      <c r="C31" s="21" t="s">
        <v>47</v>
      </c>
      <c r="D31" s="22">
        <v>193</v>
      </c>
      <c r="E31" s="512"/>
      <c r="F31" s="41">
        <f t="shared" si="1"/>
        <v>0</v>
      </c>
    </row>
    <row r="32" spans="1:6" ht="38.25">
      <c r="A32" s="85" t="s">
        <v>68</v>
      </c>
      <c r="B32" s="140" t="s">
        <v>87</v>
      </c>
      <c r="C32" s="21" t="s">
        <v>47</v>
      </c>
      <c r="D32" s="22">
        <f>256*0.3</f>
        <v>76.8</v>
      </c>
      <c r="E32" s="512"/>
      <c r="F32" s="41">
        <f t="shared" si="1"/>
        <v>0</v>
      </c>
    </row>
    <row r="33" spans="1:7" ht="38.25">
      <c r="A33" s="85" t="s">
        <v>69</v>
      </c>
      <c r="B33" s="140" t="s">
        <v>101</v>
      </c>
      <c r="C33" s="21" t="s">
        <v>47</v>
      </c>
      <c r="D33" s="22">
        <f>256*0.25</f>
        <v>64</v>
      </c>
      <c r="E33" s="512"/>
      <c r="F33" s="41">
        <f t="shared" si="1"/>
        <v>0</v>
      </c>
    </row>
    <row r="34" spans="1:7">
      <c r="A34" s="85" t="s">
        <v>70</v>
      </c>
      <c r="B34" s="42" t="s">
        <v>154</v>
      </c>
      <c r="C34" s="21" t="s">
        <v>9</v>
      </c>
      <c r="D34" s="22">
        <v>123</v>
      </c>
      <c r="E34" s="512"/>
      <c r="F34" s="41">
        <f t="shared" ref="F34" si="2">D34*E34</f>
        <v>0</v>
      </c>
    </row>
    <row r="35" spans="1:7" ht="25.5">
      <c r="A35" s="85" t="s">
        <v>71</v>
      </c>
      <c r="B35" s="42" t="s">
        <v>45</v>
      </c>
      <c r="C35" s="21" t="s">
        <v>9</v>
      </c>
      <c r="D35" s="22">
        <v>150</v>
      </c>
      <c r="E35" s="512"/>
      <c r="F35" s="41">
        <f t="shared" si="1"/>
        <v>0</v>
      </c>
    </row>
    <row r="36" spans="1:7" ht="38.25">
      <c r="A36" s="85" t="s">
        <v>80</v>
      </c>
      <c r="B36" s="42" t="s">
        <v>156</v>
      </c>
      <c r="C36" s="21" t="s">
        <v>47</v>
      </c>
      <c r="D36" s="22">
        <f>((D8*0.1)+D16+D17+D19+D21+D23-D30-D31)*1.25</f>
        <v>283.67500000000001</v>
      </c>
      <c r="E36" s="512"/>
      <c r="F36" s="41">
        <f t="shared" si="1"/>
        <v>0</v>
      </c>
    </row>
    <row r="37" spans="1:7" ht="25.5">
      <c r="A37" s="85" t="s">
        <v>103</v>
      </c>
      <c r="B37" s="20" t="s">
        <v>23</v>
      </c>
      <c r="C37" s="26" t="s">
        <v>48</v>
      </c>
      <c r="D37" s="22">
        <v>256</v>
      </c>
      <c r="E37" s="512"/>
      <c r="F37" s="41">
        <f t="shared" si="1"/>
        <v>0</v>
      </c>
    </row>
    <row r="38" spans="1:7" s="191" customFormat="1">
      <c r="A38" s="85" t="s">
        <v>113</v>
      </c>
      <c r="B38" s="176" t="s">
        <v>117</v>
      </c>
      <c r="C38" s="26" t="s">
        <v>48</v>
      </c>
      <c r="D38" s="22">
        <f>(D37)*1.1</f>
        <v>281.60000000000002</v>
      </c>
      <c r="E38" s="512"/>
      <c r="F38" s="41">
        <f t="shared" si="1"/>
        <v>0</v>
      </c>
      <c r="G38" s="12"/>
    </row>
    <row r="39" spans="1:7" ht="25.5">
      <c r="A39" s="85" t="s">
        <v>123</v>
      </c>
      <c r="B39" s="42" t="s">
        <v>135</v>
      </c>
      <c r="C39" s="21" t="s">
        <v>47</v>
      </c>
      <c r="D39" s="22">
        <f>D15</f>
        <v>54.6</v>
      </c>
      <c r="E39" s="512"/>
      <c r="F39" s="41">
        <f t="shared" si="1"/>
        <v>0</v>
      </c>
    </row>
    <row r="40" spans="1:7" ht="26.25" thickBot="1">
      <c r="A40" s="85" t="s">
        <v>185</v>
      </c>
      <c r="B40" s="177" t="s">
        <v>74</v>
      </c>
      <c r="C40" s="21" t="s">
        <v>48</v>
      </c>
      <c r="D40" s="22">
        <f>(D39)/0.2</f>
        <v>273</v>
      </c>
      <c r="E40" s="512"/>
      <c r="F40" s="41">
        <f t="shared" si="1"/>
        <v>0</v>
      </c>
    </row>
    <row r="41" spans="1:7" ht="15" thickBot="1">
      <c r="A41" s="125" t="s">
        <v>36</v>
      </c>
      <c r="B41" s="126" t="s">
        <v>11</v>
      </c>
      <c r="C41" s="44"/>
      <c r="D41" s="45"/>
      <c r="E41" s="72"/>
      <c r="F41" s="127">
        <f>SUM(F15:F40)</f>
        <v>0</v>
      </c>
      <c r="G41" s="9"/>
    </row>
    <row r="42" spans="1:7" ht="15" thickBot="1">
      <c r="A42" s="86"/>
      <c r="B42" s="203"/>
      <c r="C42" s="204"/>
      <c r="D42" s="205"/>
      <c r="E42" s="73"/>
      <c r="F42" s="66"/>
      <c r="G42" s="9"/>
    </row>
    <row r="43" spans="1:7" ht="15" thickBot="1">
      <c r="A43" s="90"/>
      <c r="B43" s="46" t="s">
        <v>37</v>
      </c>
      <c r="C43" s="47"/>
      <c r="D43" s="48"/>
      <c r="E43" s="74"/>
      <c r="F43" s="75"/>
      <c r="G43" s="9"/>
    </row>
    <row r="44" spans="1:7" ht="63.75">
      <c r="A44" s="88"/>
      <c r="B44" s="49" t="s">
        <v>24</v>
      </c>
      <c r="C44" s="17"/>
      <c r="D44" s="18"/>
      <c r="E44" s="64"/>
      <c r="F44" s="19"/>
      <c r="G44" s="9"/>
    </row>
    <row r="45" spans="1:7" ht="76.5">
      <c r="A45" s="89">
        <v>1</v>
      </c>
      <c r="B45" s="42" t="s">
        <v>98</v>
      </c>
      <c r="C45" s="21" t="s">
        <v>9</v>
      </c>
      <c r="D45" s="22">
        <v>160</v>
      </c>
      <c r="E45" s="519"/>
      <c r="F45" s="43">
        <f t="shared" ref="F45:F47" si="3">D45*E45</f>
        <v>0</v>
      </c>
      <c r="G45" s="9"/>
    </row>
    <row r="46" spans="1:7">
      <c r="A46" s="133"/>
      <c r="B46" s="207" t="s">
        <v>136</v>
      </c>
      <c r="C46" s="201" t="s">
        <v>6</v>
      </c>
      <c r="D46" s="22">
        <v>12</v>
      </c>
      <c r="E46" s="519"/>
      <c r="F46" s="43">
        <f t="shared" si="3"/>
        <v>0</v>
      </c>
      <c r="G46" s="9"/>
    </row>
    <row r="47" spans="1:7">
      <c r="A47" s="89"/>
      <c r="B47" s="177" t="s">
        <v>137</v>
      </c>
      <c r="C47" s="21" t="s">
        <v>6</v>
      </c>
      <c r="D47" s="22">
        <v>2</v>
      </c>
      <c r="E47" s="519"/>
      <c r="F47" s="43">
        <f t="shared" si="3"/>
        <v>0</v>
      </c>
      <c r="G47" s="9"/>
    </row>
    <row r="48" spans="1:7" ht="191.25">
      <c r="A48" s="129" t="s">
        <v>55</v>
      </c>
      <c r="B48" s="208" t="s">
        <v>100</v>
      </c>
      <c r="C48" s="196"/>
      <c r="D48" s="197"/>
      <c r="E48" s="209"/>
      <c r="F48" s="130"/>
      <c r="G48" s="9"/>
    </row>
    <row r="49" spans="1:7">
      <c r="A49" s="133"/>
      <c r="B49" s="207" t="s">
        <v>30</v>
      </c>
      <c r="C49" s="201" t="s">
        <v>6</v>
      </c>
      <c r="D49" s="202">
        <v>6</v>
      </c>
      <c r="E49" s="520"/>
      <c r="F49" s="134">
        <f t="shared" ref="F49:F55" si="4">D49*E49</f>
        <v>0</v>
      </c>
      <c r="G49" s="9"/>
    </row>
    <row r="50" spans="1:7" ht="51">
      <c r="A50" s="89" t="s">
        <v>56</v>
      </c>
      <c r="B50" s="42" t="s">
        <v>109</v>
      </c>
      <c r="C50" s="21" t="s">
        <v>6</v>
      </c>
      <c r="D50" s="22">
        <v>1</v>
      </c>
      <c r="E50" s="512"/>
      <c r="F50" s="43">
        <f t="shared" si="4"/>
        <v>0</v>
      </c>
      <c r="G50" s="9"/>
    </row>
    <row r="51" spans="1:7" ht="102">
      <c r="A51" s="89" t="s">
        <v>57</v>
      </c>
      <c r="B51" s="176" t="s">
        <v>89</v>
      </c>
      <c r="C51" s="21" t="s">
        <v>6</v>
      </c>
      <c r="D51" s="22">
        <v>3</v>
      </c>
      <c r="E51" s="518"/>
      <c r="F51" s="43">
        <f t="shared" si="4"/>
        <v>0</v>
      </c>
      <c r="G51" s="9"/>
    </row>
    <row r="52" spans="1:7" ht="51">
      <c r="A52" s="89" t="s">
        <v>58</v>
      </c>
      <c r="B52" s="20" t="s">
        <v>90</v>
      </c>
      <c r="C52" s="21" t="s">
        <v>6</v>
      </c>
      <c r="D52" s="22">
        <v>3</v>
      </c>
      <c r="E52" s="518"/>
      <c r="F52" s="43">
        <f t="shared" si="4"/>
        <v>0</v>
      </c>
      <c r="G52" s="9"/>
    </row>
    <row r="53" spans="1:7" ht="38.25">
      <c r="A53" s="89" t="s">
        <v>59</v>
      </c>
      <c r="B53" s="142" t="s">
        <v>91</v>
      </c>
      <c r="C53" s="21" t="s">
        <v>6</v>
      </c>
      <c r="D53" s="143">
        <v>3</v>
      </c>
      <c r="E53" s="513"/>
      <c r="F53" s="43">
        <f t="shared" si="4"/>
        <v>0</v>
      </c>
    </row>
    <row r="54" spans="1:7" ht="89.25">
      <c r="A54" s="89" t="s">
        <v>60</v>
      </c>
      <c r="B54" s="176" t="s">
        <v>81</v>
      </c>
      <c r="C54" s="21" t="s">
        <v>9</v>
      </c>
      <c r="D54" s="22">
        <f>3*8</f>
        <v>24</v>
      </c>
      <c r="E54" s="518"/>
      <c r="F54" s="43">
        <f t="shared" si="4"/>
        <v>0</v>
      </c>
    </row>
    <row r="55" spans="1:7" ht="15" thickBot="1">
      <c r="A55" s="131"/>
      <c r="B55" s="210" t="s">
        <v>115</v>
      </c>
      <c r="C55" s="38" t="s">
        <v>6</v>
      </c>
      <c r="D55" s="39">
        <v>3</v>
      </c>
      <c r="E55" s="522"/>
      <c r="F55" s="132">
        <f t="shared" si="4"/>
        <v>0</v>
      </c>
    </row>
    <row r="56" spans="1:7" ht="15" thickBot="1">
      <c r="A56" s="122" t="s">
        <v>38</v>
      </c>
      <c r="B56" s="124" t="s">
        <v>26</v>
      </c>
      <c r="C56" s="50"/>
      <c r="D56" s="51"/>
      <c r="E56" s="76"/>
      <c r="F56" s="123">
        <f>SUM(F45:F55)</f>
        <v>0</v>
      </c>
    </row>
    <row r="57" spans="1:7" ht="15" thickBot="1">
      <c r="A57" s="86"/>
      <c r="B57" s="31"/>
      <c r="C57" s="32"/>
      <c r="D57" s="33"/>
      <c r="E57" s="66"/>
      <c r="F57" s="66"/>
    </row>
    <row r="58" spans="1:7" ht="15" thickBot="1">
      <c r="A58" s="87"/>
      <c r="B58" s="52" t="s">
        <v>39</v>
      </c>
      <c r="C58" s="53"/>
      <c r="D58" s="54"/>
      <c r="E58" s="77"/>
      <c r="F58" s="78"/>
    </row>
    <row r="59" spans="1:7" ht="63.75">
      <c r="A59" s="84"/>
      <c r="B59" s="37" t="s">
        <v>8</v>
      </c>
      <c r="C59" s="38"/>
      <c r="D59" s="39"/>
      <c r="E59" s="70"/>
      <c r="F59" s="71"/>
    </row>
    <row r="60" spans="1:7" ht="25.5">
      <c r="A60" s="85" t="s">
        <v>54</v>
      </c>
      <c r="B60" s="55" t="s">
        <v>42</v>
      </c>
      <c r="C60" s="26" t="s">
        <v>9</v>
      </c>
      <c r="D60" s="81">
        <v>105</v>
      </c>
      <c r="E60" s="524"/>
      <c r="F60" s="23">
        <f t="shared" ref="F60:F66" si="5">D60*E60</f>
        <v>0</v>
      </c>
    </row>
    <row r="61" spans="1:7" ht="25.5">
      <c r="A61" s="85" t="s">
        <v>55</v>
      </c>
      <c r="B61" s="55" t="s">
        <v>104</v>
      </c>
      <c r="C61" s="26" t="s">
        <v>9</v>
      </c>
      <c r="D61" s="81">
        <v>105</v>
      </c>
      <c r="E61" s="524"/>
      <c r="F61" s="23">
        <f>D61*E61</f>
        <v>0</v>
      </c>
    </row>
    <row r="62" spans="1:7">
      <c r="A62" s="85" t="s">
        <v>56</v>
      </c>
      <c r="B62" s="55" t="s">
        <v>105</v>
      </c>
      <c r="C62" s="26" t="s">
        <v>9</v>
      </c>
      <c r="D62" s="81">
        <v>105</v>
      </c>
      <c r="E62" s="524"/>
      <c r="F62" s="23">
        <f>D62*E62</f>
        <v>0</v>
      </c>
    </row>
    <row r="63" spans="1:7" ht="25.5">
      <c r="A63" s="85" t="s">
        <v>57</v>
      </c>
      <c r="B63" s="184" t="s">
        <v>118</v>
      </c>
      <c r="C63" s="21" t="s">
        <v>48</v>
      </c>
      <c r="D63" s="22">
        <v>195</v>
      </c>
      <c r="E63" s="525"/>
      <c r="F63" s="23">
        <f>D63*E63</f>
        <v>0</v>
      </c>
    </row>
    <row r="64" spans="1:7" ht="25.5">
      <c r="A64" s="89" t="s">
        <v>58</v>
      </c>
      <c r="B64" s="141" t="s">
        <v>119</v>
      </c>
      <c r="C64" s="21" t="s">
        <v>48</v>
      </c>
      <c r="D64" s="22">
        <v>195</v>
      </c>
      <c r="E64" s="525"/>
      <c r="F64" s="23">
        <f t="shared" si="5"/>
        <v>0</v>
      </c>
    </row>
    <row r="65" spans="1:7" ht="25.5">
      <c r="A65" s="85" t="s">
        <v>59</v>
      </c>
      <c r="B65" s="24" t="s">
        <v>94</v>
      </c>
      <c r="C65" s="21" t="s">
        <v>47</v>
      </c>
      <c r="D65" s="22">
        <v>6</v>
      </c>
      <c r="E65" s="512"/>
      <c r="F65" s="23">
        <f t="shared" si="5"/>
        <v>0</v>
      </c>
    </row>
    <row r="66" spans="1:7" ht="51">
      <c r="A66" s="85" t="s">
        <v>60</v>
      </c>
      <c r="B66" s="24" t="s">
        <v>21</v>
      </c>
      <c r="C66" s="21" t="s">
        <v>6</v>
      </c>
      <c r="D66" s="22">
        <v>2</v>
      </c>
      <c r="E66" s="512"/>
      <c r="F66" s="23">
        <f t="shared" si="5"/>
        <v>0</v>
      </c>
    </row>
    <row r="67" spans="1:7" s="150" customFormat="1" ht="51.75" thickBot="1">
      <c r="A67" s="85" t="s">
        <v>61</v>
      </c>
      <c r="B67" s="24" t="s">
        <v>96</v>
      </c>
      <c r="C67" s="21" t="s">
        <v>6</v>
      </c>
      <c r="D67" s="22">
        <v>1</v>
      </c>
      <c r="E67" s="512"/>
      <c r="F67" s="23">
        <f>D67*E67</f>
        <v>0</v>
      </c>
      <c r="G67" s="58"/>
    </row>
    <row r="68" spans="1:7" ht="15" thickBot="1">
      <c r="A68" s="119" t="s">
        <v>40</v>
      </c>
      <c r="B68" s="120" t="s">
        <v>10</v>
      </c>
      <c r="C68" s="56"/>
      <c r="D68" s="57"/>
      <c r="E68" s="79"/>
      <c r="F68" s="121">
        <f>SUM(F60:F67)</f>
        <v>0</v>
      </c>
      <c r="G68" s="9"/>
    </row>
    <row r="69" spans="1:7" ht="15" thickBot="1">
      <c r="G69" s="9"/>
    </row>
    <row r="70" spans="1:7" ht="15" thickBot="1">
      <c r="A70" s="169"/>
      <c r="B70" s="170" t="s">
        <v>151</v>
      </c>
      <c r="C70" s="171"/>
      <c r="D70" s="172"/>
      <c r="E70" s="173"/>
      <c r="F70" s="174">
        <f>F10+F41+F56+F68</f>
        <v>0</v>
      </c>
      <c r="G70" s="9"/>
    </row>
    <row r="72" spans="1:7">
      <c r="G72" s="9"/>
    </row>
  </sheetData>
  <sheetProtection algorithmName="SHA-512" hashValue="DYL8E4NRrirwgGgQ4UYaNm5xnuVwUKG0emcLSF7G0JBEIpzlWMXLtimo23k777GjlEJXcIFRvnuc8iB5em7nHA==" saltValue="BIP/a7y6yQpBfZbxHHsLlA=="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41"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G76"/>
  <sheetViews>
    <sheetView view="pageBreakPreview" topLeftCell="A58" zoomScaleNormal="100" zoomScaleSheetLayoutView="100" workbookViewId="0">
      <selection activeCell="E67" sqref="E67"/>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416</v>
      </c>
      <c r="B1" s="178" t="s">
        <v>237</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325</v>
      </c>
      <c r="E5" s="512"/>
      <c r="F5" s="23">
        <f t="shared" ref="F5:F9" si="0">D5*E5</f>
        <v>0</v>
      </c>
    </row>
    <row r="6" spans="1:6" ht="25.5">
      <c r="A6" s="85" t="s">
        <v>55</v>
      </c>
      <c r="B6" s="24" t="s">
        <v>28</v>
      </c>
      <c r="C6" s="21" t="s">
        <v>6</v>
      </c>
      <c r="D6" s="22">
        <v>20</v>
      </c>
      <c r="E6" s="512"/>
      <c r="F6" s="23">
        <f t="shared" si="0"/>
        <v>0</v>
      </c>
    </row>
    <row r="7" spans="1:6">
      <c r="A7" s="84" t="s">
        <v>56</v>
      </c>
      <c r="B7" s="176" t="s">
        <v>126</v>
      </c>
      <c r="C7" s="38" t="s">
        <v>6</v>
      </c>
      <c r="D7" s="22">
        <v>5</v>
      </c>
      <c r="E7" s="512"/>
      <c r="F7" s="23">
        <f t="shared" si="0"/>
        <v>0</v>
      </c>
    </row>
    <row r="8" spans="1:6" ht="38.25">
      <c r="A8" s="85" t="s">
        <v>57</v>
      </c>
      <c r="B8" s="25" t="s">
        <v>120</v>
      </c>
      <c r="C8" s="21" t="s">
        <v>9</v>
      </c>
      <c r="D8" s="22">
        <v>8</v>
      </c>
      <c r="E8" s="512"/>
      <c r="F8" s="23">
        <f t="shared" si="0"/>
        <v>0</v>
      </c>
    </row>
    <row r="9" spans="1:6" ht="39" thickBot="1">
      <c r="A9" s="84" t="s">
        <v>58</v>
      </c>
      <c r="B9" s="20" t="s">
        <v>53</v>
      </c>
      <c r="C9" s="26" t="s">
        <v>48</v>
      </c>
      <c r="D9" s="22">
        <v>56</v>
      </c>
      <c r="E9" s="512"/>
      <c r="F9" s="23">
        <f t="shared" si="0"/>
        <v>0</v>
      </c>
    </row>
    <row r="10" spans="1:6" ht="15" thickBot="1">
      <c r="A10" s="116" t="s">
        <v>34</v>
      </c>
      <c r="B10" s="28" t="s">
        <v>12</v>
      </c>
      <c r="C10" s="29"/>
      <c r="D10" s="30"/>
      <c r="E10" s="65"/>
      <c r="F10" s="117">
        <f>SUM(F5:F9)</f>
        <v>0</v>
      </c>
    </row>
    <row r="11" spans="1:6" ht="15" thickBot="1">
      <c r="A11" s="86"/>
      <c r="B11" s="31"/>
      <c r="C11" s="32"/>
      <c r="D11" s="33"/>
      <c r="E11" s="66"/>
      <c r="F11" s="67"/>
    </row>
    <row r="12" spans="1:6" ht="15" thickBot="1">
      <c r="A12" s="87"/>
      <c r="B12" s="34" t="s">
        <v>35</v>
      </c>
      <c r="C12" s="35"/>
      <c r="D12" s="36"/>
      <c r="E12" s="68"/>
      <c r="F12" s="69"/>
    </row>
    <row r="13" spans="1:6" ht="51">
      <c r="A13" s="88"/>
      <c r="B13" s="37" t="s">
        <v>52</v>
      </c>
      <c r="C13" s="38"/>
      <c r="D13" s="39"/>
      <c r="E13" s="70"/>
      <c r="F13" s="71"/>
    </row>
    <row r="14" spans="1:6" ht="38.25">
      <c r="A14" s="84"/>
      <c r="B14" s="40" t="s">
        <v>25</v>
      </c>
      <c r="C14" s="21"/>
      <c r="D14" s="22"/>
      <c r="E14" s="27"/>
      <c r="F14" s="23"/>
    </row>
    <row r="15" spans="1:6" ht="38.25">
      <c r="A15" s="85" t="s">
        <v>54</v>
      </c>
      <c r="B15" s="20" t="s">
        <v>128</v>
      </c>
      <c r="C15" s="21" t="s">
        <v>47</v>
      </c>
      <c r="D15" s="22">
        <f>52*2.5*0.2</f>
        <v>26</v>
      </c>
      <c r="E15" s="512"/>
      <c r="F15" s="23">
        <f>D15*E15</f>
        <v>0</v>
      </c>
    </row>
    <row r="16" spans="1:6" ht="25.5">
      <c r="A16" s="85" t="s">
        <v>55</v>
      </c>
      <c r="B16" s="135" t="s">
        <v>102</v>
      </c>
      <c r="C16" s="21" t="s">
        <v>47</v>
      </c>
      <c r="D16" s="22">
        <f>(3*75*0.3)+(65*0.3)</f>
        <v>87</v>
      </c>
      <c r="E16" s="512"/>
      <c r="F16" s="23">
        <f>D16*E16</f>
        <v>0</v>
      </c>
    </row>
    <row r="17" spans="1:6">
      <c r="A17" s="85" t="s">
        <v>56</v>
      </c>
      <c r="B17" s="20" t="s">
        <v>43</v>
      </c>
      <c r="C17" s="21" t="s">
        <v>47</v>
      </c>
      <c r="D17" s="22">
        <v>10</v>
      </c>
      <c r="E17" s="512"/>
      <c r="F17" s="23">
        <f>D17*E17</f>
        <v>0</v>
      </c>
    </row>
    <row r="18" spans="1:6" ht="25.5">
      <c r="A18" s="128" t="s">
        <v>57</v>
      </c>
      <c r="B18" s="145" t="s">
        <v>239</v>
      </c>
      <c r="C18" s="196"/>
      <c r="D18" s="197"/>
      <c r="E18" s="146"/>
      <c r="F18" s="147"/>
    </row>
    <row r="19" spans="1:6">
      <c r="A19" s="199"/>
      <c r="B19" s="200" t="s">
        <v>77</v>
      </c>
      <c r="C19" s="201" t="s">
        <v>47</v>
      </c>
      <c r="D19" s="202">
        <f>803*0.7+(65*0.25)</f>
        <v>578.34999999999991</v>
      </c>
      <c r="E19" s="516"/>
      <c r="F19" s="149">
        <f>D19*E19</f>
        <v>0</v>
      </c>
    </row>
    <row r="20" spans="1:6">
      <c r="A20" s="84"/>
      <c r="B20" s="198" t="s">
        <v>76</v>
      </c>
      <c r="C20" s="38" t="s">
        <v>47</v>
      </c>
      <c r="D20" s="39">
        <v>5.68</v>
      </c>
      <c r="E20" s="515"/>
      <c r="F20" s="148">
        <f>D20*E20</f>
        <v>0</v>
      </c>
    </row>
    <row r="21" spans="1:6" ht="38.25">
      <c r="A21" s="85" t="s">
        <v>58</v>
      </c>
      <c r="B21" s="145" t="s">
        <v>240</v>
      </c>
      <c r="C21" s="21" t="s">
        <v>47</v>
      </c>
      <c r="D21" s="202">
        <f>808*0.3</f>
        <v>242.39999999999998</v>
      </c>
      <c r="E21" s="517"/>
      <c r="F21" s="41">
        <f>D21*E21</f>
        <v>0</v>
      </c>
    </row>
    <row r="22" spans="1:6" ht="63.75">
      <c r="A22" s="85" t="s">
        <v>59</v>
      </c>
      <c r="B22" s="20" t="s">
        <v>73</v>
      </c>
      <c r="C22" s="21" t="s">
        <v>6</v>
      </c>
      <c r="D22" s="22">
        <v>2</v>
      </c>
      <c r="E22" s="518"/>
      <c r="F22" s="41">
        <f t="shared" ref="F22:F37" si="1">D22*E22</f>
        <v>0</v>
      </c>
    </row>
    <row r="23" spans="1:6" ht="25.5">
      <c r="A23" s="85" t="s">
        <v>60</v>
      </c>
      <c r="B23" s="176" t="s">
        <v>44</v>
      </c>
      <c r="C23" s="26" t="s">
        <v>48</v>
      </c>
      <c r="D23" s="22">
        <f>325*0.8</f>
        <v>260</v>
      </c>
      <c r="E23" s="512"/>
      <c r="F23" s="41">
        <f t="shared" si="1"/>
        <v>0</v>
      </c>
    </row>
    <row r="24" spans="1:6" ht="51">
      <c r="A24" s="85" t="s">
        <v>61</v>
      </c>
      <c r="B24" s="135" t="s">
        <v>85</v>
      </c>
      <c r="C24" s="21" t="s">
        <v>47</v>
      </c>
      <c r="D24" s="22">
        <f>38.55*1.1</f>
        <v>42.405000000000001</v>
      </c>
      <c r="E24" s="512"/>
      <c r="F24" s="41">
        <f>D24*E24</f>
        <v>0</v>
      </c>
    </row>
    <row r="25" spans="1:6" ht="51">
      <c r="A25" s="85" t="s">
        <v>62</v>
      </c>
      <c r="B25" s="135" t="s">
        <v>86</v>
      </c>
      <c r="C25" s="21" t="s">
        <v>47</v>
      </c>
      <c r="D25" s="22">
        <f>92.64*1.1</f>
        <v>101.90400000000001</v>
      </c>
      <c r="E25" s="512"/>
      <c r="F25" s="41">
        <f>D25*E25</f>
        <v>0</v>
      </c>
    </row>
    <row r="26" spans="1:6" ht="63.75">
      <c r="A26" s="85" t="s">
        <v>63</v>
      </c>
      <c r="B26" s="20" t="s">
        <v>132</v>
      </c>
      <c r="C26" s="21" t="s">
        <v>47</v>
      </c>
      <c r="D26" s="22">
        <v>670.2</v>
      </c>
      <c r="E26" s="512"/>
      <c r="F26" s="41">
        <f t="shared" si="1"/>
        <v>0</v>
      </c>
    </row>
    <row r="27" spans="1:6" ht="38.25">
      <c r="A27" s="85" t="s">
        <v>64</v>
      </c>
      <c r="B27" s="140" t="s">
        <v>87</v>
      </c>
      <c r="C27" s="21" t="s">
        <v>47</v>
      </c>
      <c r="D27" s="22">
        <f>65*0.3*1.1</f>
        <v>21.450000000000003</v>
      </c>
      <c r="E27" s="512"/>
      <c r="F27" s="41">
        <f t="shared" si="1"/>
        <v>0</v>
      </c>
    </row>
    <row r="28" spans="1:6" ht="38.25">
      <c r="A28" s="85" t="s">
        <v>65</v>
      </c>
      <c r="B28" s="140" t="s">
        <v>101</v>
      </c>
      <c r="C28" s="21" t="s">
        <v>47</v>
      </c>
      <c r="D28" s="22">
        <f>65*0.25*1.1</f>
        <v>17.875</v>
      </c>
      <c r="E28" s="512"/>
      <c r="F28" s="41">
        <f t="shared" si="1"/>
        <v>0</v>
      </c>
    </row>
    <row r="29" spans="1:6" ht="38.25">
      <c r="A29" s="85" t="s">
        <v>65</v>
      </c>
      <c r="B29" s="140" t="s">
        <v>618</v>
      </c>
      <c r="C29" s="21" t="s">
        <v>47</v>
      </c>
      <c r="D29" s="22">
        <f>3*75*0.3</f>
        <v>67.5</v>
      </c>
      <c r="E29" s="512"/>
      <c r="F29" s="41">
        <f t="shared" ref="F29" si="2">D29*E29</f>
        <v>0</v>
      </c>
    </row>
    <row r="30" spans="1:6">
      <c r="A30" s="85" t="s">
        <v>66</v>
      </c>
      <c r="B30" s="42" t="s">
        <v>154</v>
      </c>
      <c r="C30" s="21" t="s">
        <v>9</v>
      </c>
      <c r="D30" s="22">
        <v>20</v>
      </c>
      <c r="E30" s="512"/>
      <c r="F30" s="41">
        <f t="shared" si="1"/>
        <v>0</v>
      </c>
    </row>
    <row r="31" spans="1:6" ht="25.5">
      <c r="A31" s="85" t="s">
        <v>67</v>
      </c>
      <c r="B31" s="42" t="s">
        <v>45</v>
      </c>
      <c r="C31" s="21" t="s">
        <v>9</v>
      </c>
      <c r="D31" s="22">
        <v>325</v>
      </c>
      <c r="E31" s="512"/>
      <c r="F31" s="41">
        <f t="shared" si="1"/>
        <v>0</v>
      </c>
    </row>
    <row r="32" spans="1:6" ht="38.25">
      <c r="A32" s="85" t="s">
        <v>68</v>
      </c>
      <c r="B32" s="42" t="s">
        <v>619</v>
      </c>
      <c r="C32" s="21" t="s">
        <v>47</v>
      </c>
      <c r="D32" s="22">
        <f>((D9*0.1)+D16+D17+D20+D19-D26)*1.25</f>
        <v>20.537499999999795</v>
      </c>
      <c r="E32" s="512"/>
      <c r="F32" s="41">
        <f t="shared" si="1"/>
        <v>0</v>
      </c>
    </row>
    <row r="33" spans="1:7" ht="25.5">
      <c r="A33" s="85" t="s">
        <v>69</v>
      </c>
      <c r="B33" s="20" t="s">
        <v>620</v>
      </c>
      <c r="C33" s="26" t="s">
        <v>48</v>
      </c>
      <c r="D33" s="22">
        <f>3*75</f>
        <v>225</v>
      </c>
      <c r="E33" s="512"/>
      <c r="F33" s="41">
        <f t="shared" ref="F33" si="3">D33*E33</f>
        <v>0</v>
      </c>
    </row>
    <row r="34" spans="1:7" ht="25.5">
      <c r="A34" s="85" t="s">
        <v>70</v>
      </c>
      <c r="B34" s="20" t="s">
        <v>23</v>
      </c>
      <c r="C34" s="26" t="s">
        <v>48</v>
      </c>
      <c r="D34" s="22">
        <v>65</v>
      </c>
      <c r="E34" s="512"/>
      <c r="F34" s="41">
        <f t="shared" si="1"/>
        <v>0</v>
      </c>
    </row>
    <row r="35" spans="1:7" s="191" customFormat="1">
      <c r="A35" s="85" t="s">
        <v>71</v>
      </c>
      <c r="B35" s="176" t="s">
        <v>117</v>
      </c>
      <c r="C35" s="26" t="s">
        <v>48</v>
      </c>
      <c r="D35" s="22">
        <f>(D33+D34)*1.1</f>
        <v>319</v>
      </c>
      <c r="E35" s="512"/>
      <c r="F35" s="41">
        <f t="shared" si="1"/>
        <v>0</v>
      </c>
      <c r="G35" s="12"/>
    </row>
    <row r="36" spans="1:7" ht="25.5">
      <c r="A36" s="85" t="s">
        <v>80</v>
      </c>
      <c r="B36" s="42" t="s">
        <v>135</v>
      </c>
      <c r="C36" s="21" t="s">
        <v>47</v>
      </c>
      <c r="D36" s="22">
        <f>D15</f>
        <v>26</v>
      </c>
      <c r="E36" s="512"/>
      <c r="F36" s="41">
        <f t="shared" si="1"/>
        <v>0</v>
      </c>
    </row>
    <row r="37" spans="1:7" ht="26.25" thickBot="1">
      <c r="A37" s="85" t="s">
        <v>103</v>
      </c>
      <c r="B37" s="177" t="s">
        <v>74</v>
      </c>
      <c r="C37" s="21" t="s">
        <v>48</v>
      </c>
      <c r="D37" s="22">
        <f>(D36)/0.2</f>
        <v>130</v>
      </c>
      <c r="E37" s="512"/>
      <c r="F37" s="41">
        <f t="shared" si="1"/>
        <v>0</v>
      </c>
    </row>
    <row r="38" spans="1:7" ht="15" thickBot="1">
      <c r="A38" s="125" t="s">
        <v>36</v>
      </c>
      <c r="B38" s="126" t="s">
        <v>11</v>
      </c>
      <c r="C38" s="44"/>
      <c r="D38" s="45"/>
      <c r="E38" s="72"/>
      <c r="F38" s="127">
        <f>SUM(F15:F37)</f>
        <v>0</v>
      </c>
      <c r="G38" s="9"/>
    </row>
    <row r="39" spans="1:7" ht="15" thickBot="1">
      <c r="A39" s="86"/>
      <c r="B39" s="203"/>
      <c r="C39" s="204"/>
      <c r="D39" s="205"/>
      <c r="E39" s="73"/>
      <c r="F39" s="66"/>
      <c r="G39" s="9"/>
    </row>
    <row r="40" spans="1:7" ht="15" thickBot="1">
      <c r="A40" s="90"/>
      <c r="B40" s="46" t="s">
        <v>37</v>
      </c>
      <c r="C40" s="47"/>
      <c r="D40" s="48"/>
      <c r="E40" s="74"/>
      <c r="F40" s="75"/>
      <c r="G40" s="9"/>
    </row>
    <row r="41" spans="1:7" ht="63.75">
      <c r="A41" s="88"/>
      <c r="B41" s="49" t="s">
        <v>24</v>
      </c>
      <c r="C41" s="17"/>
      <c r="D41" s="18"/>
      <c r="E41" s="64"/>
      <c r="F41" s="19"/>
      <c r="G41" s="9"/>
    </row>
    <row r="42" spans="1:7" ht="76.5">
      <c r="A42" s="89">
        <v>1</v>
      </c>
      <c r="B42" s="42" t="s">
        <v>98</v>
      </c>
      <c r="C42" s="21" t="s">
        <v>9</v>
      </c>
      <c r="D42" s="22">
        <v>200</v>
      </c>
      <c r="E42" s="519"/>
      <c r="F42" s="43">
        <f t="shared" ref="F42:F43" si="4">D42*E42</f>
        <v>0</v>
      </c>
      <c r="G42" s="9"/>
    </row>
    <row r="43" spans="1:7">
      <c r="A43" s="133"/>
      <c r="B43" s="207" t="s">
        <v>136</v>
      </c>
      <c r="C43" s="201" t="s">
        <v>6</v>
      </c>
      <c r="D43" s="22">
        <v>2</v>
      </c>
      <c r="E43" s="519"/>
      <c r="F43" s="43">
        <f t="shared" si="4"/>
        <v>0</v>
      </c>
      <c r="G43" s="9"/>
    </row>
    <row r="44" spans="1:7">
      <c r="A44" s="133"/>
      <c r="B44" s="207" t="s">
        <v>144</v>
      </c>
      <c r="C44" s="201" t="s">
        <v>6</v>
      </c>
      <c r="D44" s="22">
        <v>18</v>
      </c>
      <c r="E44" s="519"/>
      <c r="F44" s="43">
        <f t="shared" ref="F44:F45" si="5">D44*E44</f>
        <v>0</v>
      </c>
      <c r="G44" s="9"/>
    </row>
    <row r="45" spans="1:7" ht="38.25">
      <c r="A45" s="222" t="s">
        <v>55</v>
      </c>
      <c r="B45" s="223" t="s">
        <v>621</v>
      </c>
      <c r="C45" s="224" t="s">
        <v>9</v>
      </c>
      <c r="D45" s="221">
        <f>140</f>
        <v>140</v>
      </c>
      <c r="E45" s="523"/>
      <c r="F45" s="213">
        <f t="shared" si="5"/>
        <v>0</v>
      </c>
    </row>
    <row r="46" spans="1:7" ht="191.25">
      <c r="A46" s="129" t="s">
        <v>56</v>
      </c>
      <c r="B46" s="208" t="s">
        <v>100</v>
      </c>
      <c r="C46" s="196"/>
      <c r="D46" s="197"/>
      <c r="E46" s="209"/>
      <c r="F46" s="130"/>
      <c r="G46" s="9"/>
    </row>
    <row r="47" spans="1:7">
      <c r="A47" s="133"/>
      <c r="B47" s="207" t="s">
        <v>30</v>
      </c>
      <c r="C47" s="201" t="s">
        <v>6</v>
      </c>
      <c r="D47" s="202">
        <v>9</v>
      </c>
      <c r="E47" s="520"/>
      <c r="F47" s="134">
        <f t="shared" ref="F47:F49" si="6">D47*E47</f>
        <v>0</v>
      </c>
      <c r="G47" s="9"/>
    </row>
    <row r="48" spans="1:7">
      <c r="A48" s="133"/>
      <c r="B48" s="207" t="s">
        <v>145</v>
      </c>
      <c r="C48" s="201" t="s">
        <v>6</v>
      </c>
      <c r="D48" s="202">
        <v>1</v>
      </c>
      <c r="E48" s="520"/>
      <c r="F48" s="134">
        <f t="shared" si="6"/>
        <v>0</v>
      </c>
      <c r="G48" s="9"/>
    </row>
    <row r="49" spans="1:7" ht="51">
      <c r="A49" s="89" t="s">
        <v>57</v>
      </c>
      <c r="B49" s="42" t="s">
        <v>109</v>
      </c>
      <c r="C49" s="21" t="s">
        <v>6</v>
      </c>
      <c r="D49" s="22">
        <v>1</v>
      </c>
      <c r="E49" s="512"/>
      <c r="F49" s="43">
        <f t="shared" si="6"/>
        <v>0</v>
      </c>
      <c r="G49" s="9"/>
    </row>
    <row r="50" spans="1:7" ht="25.5">
      <c r="A50" s="222" t="s">
        <v>58</v>
      </c>
      <c r="B50" s="223" t="s">
        <v>211</v>
      </c>
      <c r="C50" s="224"/>
      <c r="D50" s="221"/>
      <c r="E50" s="225"/>
      <c r="F50" s="213"/>
    </row>
    <row r="51" spans="1:7">
      <c r="A51" s="226"/>
      <c r="B51" s="227" t="s">
        <v>241</v>
      </c>
      <c r="C51" s="228" t="s">
        <v>6</v>
      </c>
      <c r="D51" s="229">
        <v>12</v>
      </c>
      <c r="E51" s="521"/>
      <c r="F51" s="230">
        <f t="shared" ref="F51:F59" si="7">D51*E51</f>
        <v>0</v>
      </c>
    </row>
    <row r="52" spans="1:7">
      <c r="A52" s="226"/>
      <c r="B52" s="227" t="s">
        <v>242</v>
      </c>
      <c r="C52" s="228" t="s">
        <v>6</v>
      </c>
      <c r="D52" s="229">
        <v>12</v>
      </c>
      <c r="E52" s="521"/>
      <c r="F52" s="230">
        <f t="shared" si="7"/>
        <v>0</v>
      </c>
    </row>
    <row r="53" spans="1:7">
      <c r="A53" s="222" t="s">
        <v>59</v>
      </c>
      <c r="B53" s="223" t="s">
        <v>212</v>
      </c>
      <c r="C53" s="224"/>
      <c r="D53" s="221"/>
      <c r="E53" s="225"/>
      <c r="F53" s="213"/>
    </row>
    <row r="54" spans="1:7">
      <c r="A54" s="226"/>
      <c r="B54" s="227" t="s">
        <v>245</v>
      </c>
      <c r="C54" s="228" t="s">
        <v>6</v>
      </c>
      <c r="D54" s="229">
        <v>1</v>
      </c>
      <c r="E54" s="521"/>
      <c r="F54" s="230">
        <f t="shared" si="7"/>
        <v>0</v>
      </c>
    </row>
    <row r="55" spans="1:7">
      <c r="A55" s="226"/>
      <c r="B55" s="227" t="s">
        <v>246</v>
      </c>
      <c r="C55" s="228" t="s">
        <v>6</v>
      </c>
      <c r="D55" s="229">
        <v>3</v>
      </c>
      <c r="E55" s="521"/>
      <c r="F55" s="230">
        <f t="shared" ref="F55:F56" si="8">D55*E55</f>
        <v>0</v>
      </c>
    </row>
    <row r="56" spans="1:7">
      <c r="A56" s="226"/>
      <c r="B56" s="227" t="s">
        <v>244</v>
      </c>
      <c r="C56" s="228" t="s">
        <v>6</v>
      </c>
      <c r="D56" s="229">
        <v>1</v>
      </c>
      <c r="E56" s="521"/>
      <c r="F56" s="230">
        <f t="shared" si="8"/>
        <v>0</v>
      </c>
    </row>
    <row r="57" spans="1:7">
      <c r="A57" s="226"/>
      <c r="B57" s="227" t="s">
        <v>213</v>
      </c>
      <c r="C57" s="228" t="s">
        <v>6</v>
      </c>
      <c r="D57" s="229">
        <v>1</v>
      </c>
      <c r="E57" s="521"/>
      <c r="F57" s="230">
        <f t="shared" si="7"/>
        <v>0</v>
      </c>
    </row>
    <row r="58" spans="1:7" ht="38.25">
      <c r="A58" s="226"/>
      <c r="B58" s="231" t="s">
        <v>214</v>
      </c>
      <c r="C58" s="228" t="s">
        <v>6</v>
      </c>
      <c r="D58" s="229">
        <v>1</v>
      </c>
      <c r="E58" s="521"/>
      <c r="F58" s="230">
        <f t="shared" si="7"/>
        <v>0</v>
      </c>
    </row>
    <row r="59" spans="1:7" ht="51.75" thickBot="1">
      <c r="A59" s="222" t="s">
        <v>60</v>
      </c>
      <c r="B59" s="233" t="s">
        <v>243</v>
      </c>
      <c r="C59" s="224" t="s">
        <v>6</v>
      </c>
      <c r="D59" s="221">
        <v>1</v>
      </c>
      <c r="E59" s="517"/>
      <c r="F59" s="213">
        <f t="shared" si="7"/>
        <v>0</v>
      </c>
    </row>
    <row r="60" spans="1:7" ht="15" thickBot="1">
      <c r="A60" s="122" t="s">
        <v>38</v>
      </c>
      <c r="B60" s="124" t="s">
        <v>26</v>
      </c>
      <c r="C60" s="50"/>
      <c r="D60" s="51"/>
      <c r="E60" s="76"/>
      <c r="F60" s="123">
        <f>SUM(F42:F59)</f>
        <v>0</v>
      </c>
    </row>
    <row r="61" spans="1:7" ht="15" thickBot="1">
      <c r="A61" s="86"/>
      <c r="B61" s="31"/>
      <c r="C61" s="32"/>
      <c r="D61" s="33"/>
      <c r="E61" s="66"/>
      <c r="F61" s="66"/>
    </row>
    <row r="62" spans="1:7" ht="15" thickBot="1">
      <c r="A62" s="87"/>
      <c r="B62" s="52" t="s">
        <v>39</v>
      </c>
      <c r="C62" s="53"/>
      <c r="D62" s="54"/>
      <c r="E62" s="77"/>
      <c r="F62" s="78"/>
    </row>
    <row r="63" spans="1:7" ht="63.75">
      <c r="A63" s="84"/>
      <c r="B63" s="37" t="s">
        <v>8</v>
      </c>
      <c r="C63" s="38"/>
      <c r="D63" s="39"/>
      <c r="E63" s="70"/>
      <c r="F63" s="71"/>
    </row>
    <row r="64" spans="1:7" ht="25.5">
      <c r="A64" s="85" t="s">
        <v>54</v>
      </c>
      <c r="B64" s="55" t="s">
        <v>42</v>
      </c>
      <c r="C64" s="26" t="s">
        <v>9</v>
      </c>
      <c r="D64" s="81">
        <f>325-190</f>
        <v>135</v>
      </c>
      <c r="E64" s="524"/>
      <c r="F64" s="23">
        <f t="shared" ref="F64:F70" si="9">D64*E64</f>
        <v>0</v>
      </c>
    </row>
    <row r="65" spans="1:7" ht="25.5">
      <c r="A65" s="85" t="s">
        <v>55</v>
      </c>
      <c r="B65" s="55" t="s">
        <v>104</v>
      </c>
      <c r="C65" s="26" t="s">
        <v>9</v>
      </c>
      <c r="D65" s="81">
        <v>325</v>
      </c>
      <c r="E65" s="524"/>
      <c r="F65" s="23">
        <f>D65*E65</f>
        <v>0</v>
      </c>
    </row>
    <row r="66" spans="1:7">
      <c r="A66" s="85" t="s">
        <v>56</v>
      </c>
      <c r="B66" s="55" t="s">
        <v>105</v>
      </c>
      <c r="C66" s="26" t="s">
        <v>9</v>
      </c>
      <c r="D66" s="81">
        <f>325-133</f>
        <v>192</v>
      </c>
      <c r="E66" s="524"/>
      <c r="F66" s="23">
        <f>D66*E66</f>
        <v>0</v>
      </c>
    </row>
    <row r="67" spans="1:7" ht="25.5">
      <c r="A67" s="85" t="s">
        <v>57</v>
      </c>
      <c r="B67" s="184" t="s">
        <v>118</v>
      </c>
      <c r="C67" s="21" t="s">
        <v>48</v>
      </c>
      <c r="D67" s="22">
        <v>56</v>
      </c>
      <c r="E67" s="525"/>
      <c r="F67" s="23">
        <f>D67*E67</f>
        <v>0</v>
      </c>
    </row>
    <row r="68" spans="1:7" ht="25.5">
      <c r="A68" s="89" t="s">
        <v>58</v>
      </c>
      <c r="B68" s="141" t="s">
        <v>119</v>
      </c>
      <c r="C68" s="21" t="s">
        <v>48</v>
      </c>
      <c r="D68" s="22">
        <v>56</v>
      </c>
      <c r="E68" s="525"/>
      <c r="F68" s="23">
        <f t="shared" si="9"/>
        <v>0</v>
      </c>
    </row>
    <row r="69" spans="1:7" ht="25.5">
      <c r="A69" s="85" t="s">
        <v>59</v>
      </c>
      <c r="B69" s="24" t="s">
        <v>94</v>
      </c>
      <c r="C69" s="21" t="s">
        <v>47</v>
      </c>
      <c r="D69" s="22">
        <v>3</v>
      </c>
      <c r="E69" s="512"/>
      <c r="F69" s="23">
        <f t="shared" si="9"/>
        <v>0</v>
      </c>
    </row>
    <row r="70" spans="1:7" ht="51">
      <c r="A70" s="85" t="s">
        <v>60</v>
      </c>
      <c r="B70" s="24" t="s">
        <v>21</v>
      </c>
      <c r="C70" s="21" t="s">
        <v>6</v>
      </c>
      <c r="D70" s="22">
        <v>1</v>
      </c>
      <c r="E70" s="512"/>
      <c r="F70" s="23">
        <f t="shared" si="9"/>
        <v>0</v>
      </c>
    </row>
    <row r="71" spans="1:7" s="150" customFormat="1" ht="51.75" thickBot="1">
      <c r="A71" s="85" t="s">
        <v>61</v>
      </c>
      <c r="B71" s="24" t="s">
        <v>96</v>
      </c>
      <c r="C71" s="21" t="s">
        <v>6</v>
      </c>
      <c r="D71" s="22">
        <v>1</v>
      </c>
      <c r="E71" s="512"/>
      <c r="F71" s="23">
        <f>D71*E71</f>
        <v>0</v>
      </c>
      <c r="G71" s="58"/>
    </row>
    <row r="72" spans="1:7" ht="15" thickBot="1">
      <c r="A72" s="119" t="s">
        <v>40</v>
      </c>
      <c r="B72" s="120" t="s">
        <v>10</v>
      </c>
      <c r="C72" s="56"/>
      <c r="D72" s="57"/>
      <c r="E72" s="79"/>
      <c r="F72" s="121">
        <f>SUM(F64:F71)</f>
        <v>0</v>
      </c>
      <c r="G72" s="9"/>
    </row>
    <row r="73" spans="1:7" ht="15" thickBot="1">
      <c r="G73" s="9"/>
    </row>
    <row r="74" spans="1:7" ht="15" thickBot="1">
      <c r="A74" s="169"/>
      <c r="B74" s="170" t="s">
        <v>238</v>
      </c>
      <c r="C74" s="171"/>
      <c r="D74" s="172"/>
      <c r="E74" s="173"/>
      <c r="F74" s="174">
        <f>F10+F38+F60+F72</f>
        <v>0</v>
      </c>
      <c r="G74" s="9"/>
    </row>
    <row r="76" spans="1:7">
      <c r="G76" s="9"/>
    </row>
  </sheetData>
  <sheetProtection algorithmName="SHA-512" hashValue="s/FxJTny85esg7qBH1pBphuEoexufVww5UouiX5K7mBGo3W0XeTc3b/4y7LfJZr387570F8Krq+YrPKr8Z5AFg==" saltValue="Yy4niMSmIBS+Y5vMH305s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F246"/>
  <sheetViews>
    <sheetView showZeros="0" view="pageBreakPreview" topLeftCell="A74" zoomScale="70" zoomScaleNormal="125" zoomScaleSheetLayoutView="70" workbookViewId="0">
      <selection activeCell="AC84" sqref="AC84"/>
    </sheetView>
  </sheetViews>
  <sheetFormatPr defaultRowHeight="15.75"/>
  <cols>
    <col min="1" max="1" width="6" style="248" customWidth="1"/>
    <col min="2" max="2" width="32.85546875" style="242" customWidth="1"/>
    <col min="3" max="3" width="4.85546875" style="242" customWidth="1"/>
    <col min="4" max="4" width="9.85546875" style="242" customWidth="1"/>
    <col min="5" max="5" width="14.140625" style="242" customWidth="1"/>
    <col min="6" max="6" width="15.28515625" style="243" customWidth="1"/>
    <col min="7" max="256" width="9.140625" style="4"/>
    <col min="257" max="257" width="6" style="4" customWidth="1"/>
    <col min="258" max="258" width="32.85546875" style="4" customWidth="1"/>
    <col min="259" max="259" width="4.85546875" style="4" customWidth="1"/>
    <col min="260" max="260" width="9.85546875" style="4" customWidth="1"/>
    <col min="261" max="261" width="14.140625" style="4" customWidth="1"/>
    <col min="262" max="262" width="15.28515625" style="4" customWidth="1"/>
    <col min="263" max="512" width="9.140625" style="4"/>
    <col min="513" max="513" width="6" style="4" customWidth="1"/>
    <col min="514" max="514" width="32.85546875" style="4" customWidth="1"/>
    <col min="515" max="515" width="4.85546875" style="4" customWidth="1"/>
    <col min="516" max="516" width="9.85546875" style="4" customWidth="1"/>
    <col min="517" max="517" width="14.140625" style="4" customWidth="1"/>
    <col min="518" max="518" width="15.28515625" style="4" customWidth="1"/>
    <col min="519" max="768" width="9.140625" style="4"/>
    <col min="769" max="769" width="6" style="4" customWidth="1"/>
    <col min="770" max="770" width="32.85546875" style="4" customWidth="1"/>
    <col min="771" max="771" width="4.85546875" style="4" customWidth="1"/>
    <col min="772" max="772" width="9.85546875" style="4" customWidth="1"/>
    <col min="773" max="773" width="14.140625" style="4" customWidth="1"/>
    <col min="774" max="774" width="15.28515625" style="4" customWidth="1"/>
    <col min="775" max="1024" width="9.140625" style="4"/>
    <col min="1025" max="1025" width="6" style="4" customWidth="1"/>
    <col min="1026" max="1026" width="32.85546875" style="4" customWidth="1"/>
    <col min="1027" max="1027" width="4.85546875" style="4" customWidth="1"/>
    <col min="1028" max="1028" width="9.85546875" style="4" customWidth="1"/>
    <col min="1029" max="1029" width="14.140625" style="4" customWidth="1"/>
    <col min="1030" max="1030" width="15.28515625" style="4" customWidth="1"/>
    <col min="1031" max="1280" width="9.140625" style="4"/>
    <col min="1281" max="1281" width="6" style="4" customWidth="1"/>
    <col min="1282" max="1282" width="32.85546875" style="4" customWidth="1"/>
    <col min="1283" max="1283" width="4.85546875" style="4" customWidth="1"/>
    <col min="1284" max="1284" width="9.85546875" style="4" customWidth="1"/>
    <col min="1285" max="1285" width="14.140625" style="4" customWidth="1"/>
    <col min="1286" max="1286" width="15.28515625" style="4" customWidth="1"/>
    <col min="1287" max="1536" width="9.140625" style="4"/>
    <col min="1537" max="1537" width="6" style="4" customWidth="1"/>
    <col min="1538" max="1538" width="32.85546875" style="4" customWidth="1"/>
    <col min="1539" max="1539" width="4.85546875" style="4" customWidth="1"/>
    <col min="1540" max="1540" width="9.85546875" style="4" customWidth="1"/>
    <col min="1541" max="1541" width="14.140625" style="4" customWidth="1"/>
    <col min="1542" max="1542" width="15.28515625" style="4" customWidth="1"/>
    <col min="1543" max="1792" width="9.140625" style="4"/>
    <col min="1793" max="1793" width="6" style="4" customWidth="1"/>
    <col min="1794" max="1794" width="32.85546875" style="4" customWidth="1"/>
    <col min="1795" max="1795" width="4.85546875" style="4" customWidth="1"/>
    <col min="1796" max="1796" width="9.85546875" style="4" customWidth="1"/>
    <col min="1797" max="1797" width="14.140625" style="4" customWidth="1"/>
    <col min="1798" max="1798" width="15.28515625" style="4" customWidth="1"/>
    <col min="1799" max="2048" width="9.140625" style="4"/>
    <col min="2049" max="2049" width="6" style="4" customWidth="1"/>
    <col min="2050" max="2050" width="32.85546875" style="4" customWidth="1"/>
    <col min="2051" max="2051" width="4.85546875" style="4" customWidth="1"/>
    <col min="2052" max="2052" width="9.85546875" style="4" customWidth="1"/>
    <col min="2053" max="2053" width="14.140625" style="4" customWidth="1"/>
    <col min="2054" max="2054" width="15.28515625" style="4" customWidth="1"/>
    <col min="2055" max="2304" width="9.140625" style="4"/>
    <col min="2305" max="2305" width="6" style="4" customWidth="1"/>
    <col min="2306" max="2306" width="32.85546875" style="4" customWidth="1"/>
    <col min="2307" max="2307" width="4.85546875" style="4" customWidth="1"/>
    <col min="2308" max="2308" width="9.85546875" style="4" customWidth="1"/>
    <col min="2309" max="2309" width="14.140625" style="4" customWidth="1"/>
    <col min="2310" max="2310" width="15.28515625" style="4" customWidth="1"/>
    <col min="2311" max="2560" width="9.140625" style="4"/>
    <col min="2561" max="2561" width="6" style="4" customWidth="1"/>
    <col min="2562" max="2562" width="32.85546875" style="4" customWidth="1"/>
    <col min="2563" max="2563" width="4.85546875" style="4" customWidth="1"/>
    <col min="2564" max="2564" width="9.85546875" style="4" customWidth="1"/>
    <col min="2565" max="2565" width="14.140625" style="4" customWidth="1"/>
    <col min="2566" max="2566" width="15.28515625" style="4" customWidth="1"/>
    <col min="2567" max="2816" width="9.140625" style="4"/>
    <col min="2817" max="2817" width="6" style="4" customWidth="1"/>
    <col min="2818" max="2818" width="32.85546875" style="4" customWidth="1"/>
    <col min="2819" max="2819" width="4.85546875" style="4" customWidth="1"/>
    <col min="2820" max="2820" width="9.85546875" style="4" customWidth="1"/>
    <col min="2821" max="2821" width="14.140625" style="4" customWidth="1"/>
    <col min="2822" max="2822" width="15.28515625" style="4" customWidth="1"/>
    <col min="2823" max="3072" width="9.140625" style="4"/>
    <col min="3073" max="3073" width="6" style="4" customWidth="1"/>
    <col min="3074" max="3074" width="32.85546875" style="4" customWidth="1"/>
    <col min="3075" max="3075" width="4.85546875" style="4" customWidth="1"/>
    <col min="3076" max="3076" width="9.85546875" style="4" customWidth="1"/>
    <col min="3077" max="3077" width="14.140625" style="4" customWidth="1"/>
    <col min="3078" max="3078" width="15.28515625" style="4" customWidth="1"/>
    <col min="3079" max="3328" width="9.140625" style="4"/>
    <col min="3329" max="3329" width="6" style="4" customWidth="1"/>
    <col min="3330" max="3330" width="32.85546875" style="4" customWidth="1"/>
    <col min="3331" max="3331" width="4.85546875" style="4" customWidth="1"/>
    <col min="3332" max="3332" width="9.85546875" style="4" customWidth="1"/>
    <col min="3333" max="3333" width="14.140625" style="4" customWidth="1"/>
    <col min="3334" max="3334" width="15.28515625" style="4" customWidth="1"/>
    <col min="3335" max="3584" width="9.140625" style="4"/>
    <col min="3585" max="3585" width="6" style="4" customWidth="1"/>
    <col min="3586" max="3586" width="32.85546875" style="4" customWidth="1"/>
    <col min="3587" max="3587" width="4.85546875" style="4" customWidth="1"/>
    <col min="3588" max="3588" width="9.85546875" style="4" customWidth="1"/>
    <col min="3589" max="3589" width="14.140625" style="4" customWidth="1"/>
    <col min="3590" max="3590" width="15.28515625" style="4" customWidth="1"/>
    <col min="3591" max="3840" width="9.140625" style="4"/>
    <col min="3841" max="3841" width="6" style="4" customWidth="1"/>
    <col min="3842" max="3842" width="32.85546875" style="4" customWidth="1"/>
    <col min="3843" max="3843" width="4.85546875" style="4" customWidth="1"/>
    <col min="3844" max="3844" width="9.85546875" style="4" customWidth="1"/>
    <col min="3845" max="3845" width="14.140625" style="4" customWidth="1"/>
    <col min="3846" max="3846" width="15.28515625" style="4" customWidth="1"/>
    <col min="3847" max="4096" width="9.140625" style="4"/>
    <col min="4097" max="4097" width="6" style="4" customWidth="1"/>
    <col min="4098" max="4098" width="32.85546875" style="4" customWidth="1"/>
    <col min="4099" max="4099" width="4.85546875" style="4" customWidth="1"/>
    <col min="4100" max="4100" width="9.85546875" style="4" customWidth="1"/>
    <col min="4101" max="4101" width="14.140625" style="4" customWidth="1"/>
    <col min="4102" max="4102" width="15.28515625" style="4" customWidth="1"/>
    <col min="4103" max="4352" width="9.140625" style="4"/>
    <col min="4353" max="4353" width="6" style="4" customWidth="1"/>
    <col min="4354" max="4354" width="32.85546875" style="4" customWidth="1"/>
    <col min="4355" max="4355" width="4.85546875" style="4" customWidth="1"/>
    <col min="4356" max="4356" width="9.85546875" style="4" customWidth="1"/>
    <col min="4357" max="4357" width="14.140625" style="4" customWidth="1"/>
    <col min="4358" max="4358" width="15.28515625" style="4" customWidth="1"/>
    <col min="4359" max="4608" width="9.140625" style="4"/>
    <col min="4609" max="4609" width="6" style="4" customWidth="1"/>
    <col min="4610" max="4610" width="32.85546875" style="4" customWidth="1"/>
    <col min="4611" max="4611" width="4.85546875" style="4" customWidth="1"/>
    <col min="4612" max="4612" width="9.85546875" style="4" customWidth="1"/>
    <col min="4613" max="4613" width="14.140625" style="4" customWidth="1"/>
    <col min="4614" max="4614" width="15.28515625" style="4" customWidth="1"/>
    <col min="4615" max="4864" width="9.140625" style="4"/>
    <col min="4865" max="4865" width="6" style="4" customWidth="1"/>
    <col min="4866" max="4866" width="32.85546875" style="4" customWidth="1"/>
    <col min="4867" max="4867" width="4.85546875" style="4" customWidth="1"/>
    <col min="4868" max="4868" width="9.85546875" style="4" customWidth="1"/>
    <col min="4869" max="4869" width="14.140625" style="4" customWidth="1"/>
    <col min="4870" max="4870" width="15.28515625" style="4" customWidth="1"/>
    <col min="4871" max="5120" width="9.140625" style="4"/>
    <col min="5121" max="5121" width="6" style="4" customWidth="1"/>
    <col min="5122" max="5122" width="32.85546875" style="4" customWidth="1"/>
    <col min="5123" max="5123" width="4.85546875" style="4" customWidth="1"/>
    <col min="5124" max="5124" width="9.85546875" style="4" customWidth="1"/>
    <col min="5125" max="5125" width="14.140625" style="4" customWidth="1"/>
    <col min="5126" max="5126" width="15.28515625" style="4" customWidth="1"/>
    <col min="5127" max="5376" width="9.140625" style="4"/>
    <col min="5377" max="5377" width="6" style="4" customWidth="1"/>
    <col min="5378" max="5378" width="32.85546875" style="4" customWidth="1"/>
    <col min="5379" max="5379" width="4.85546875" style="4" customWidth="1"/>
    <col min="5380" max="5380" width="9.85546875" style="4" customWidth="1"/>
    <col min="5381" max="5381" width="14.140625" style="4" customWidth="1"/>
    <col min="5382" max="5382" width="15.28515625" style="4" customWidth="1"/>
    <col min="5383" max="5632" width="9.140625" style="4"/>
    <col min="5633" max="5633" width="6" style="4" customWidth="1"/>
    <col min="5634" max="5634" width="32.85546875" style="4" customWidth="1"/>
    <col min="5635" max="5635" width="4.85546875" style="4" customWidth="1"/>
    <col min="5636" max="5636" width="9.85546875" style="4" customWidth="1"/>
    <col min="5637" max="5637" width="14.140625" style="4" customWidth="1"/>
    <col min="5638" max="5638" width="15.28515625" style="4" customWidth="1"/>
    <col min="5639" max="5888" width="9.140625" style="4"/>
    <col min="5889" max="5889" width="6" style="4" customWidth="1"/>
    <col min="5890" max="5890" width="32.85546875" style="4" customWidth="1"/>
    <col min="5891" max="5891" width="4.85546875" style="4" customWidth="1"/>
    <col min="5892" max="5892" width="9.85546875" style="4" customWidth="1"/>
    <col min="5893" max="5893" width="14.140625" style="4" customWidth="1"/>
    <col min="5894" max="5894" width="15.28515625" style="4" customWidth="1"/>
    <col min="5895" max="6144" width="9.140625" style="4"/>
    <col min="6145" max="6145" width="6" style="4" customWidth="1"/>
    <col min="6146" max="6146" width="32.85546875" style="4" customWidth="1"/>
    <col min="6147" max="6147" width="4.85546875" style="4" customWidth="1"/>
    <col min="6148" max="6148" width="9.85546875" style="4" customWidth="1"/>
    <col min="6149" max="6149" width="14.140625" style="4" customWidth="1"/>
    <col min="6150" max="6150" width="15.28515625" style="4" customWidth="1"/>
    <col min="6151" max="6400" width="9.140625" style="4"/>
    <col min="6401" max="6401" width="6" style="4" customWidth="1"/>
    <col min="6402" max="6402" width="32.85546875" style="4" customWidth="1"/>
    <col min="6403" max="6403" width="4.85546875" style="4" customWidth="1"/>
    <col min="6404" max="6404" width="9.85546875" style="4" customWidth="1"/>
    <col min="6405" max="6405" width="14.140625" style="4" customWidth="1"/>
    <col min="6406" max="6406" width="15.28515625" style="4" customWidth="1"/>
    <col min="6407" max="6656" width="9.140625" style="4"/>
    <col min="6657" max="6657" width="6" style="4" customWidth="1"/>
    <col min="6658" max="6658" width="32.85546875" style="4" customWidth="1"/>
    <col min="6659" max="6659" width="4.85546875" style="4" customWidth="1"/>
    <col min="6660" max="6660" width="9.85546875" style="4" customWidth="1"/>
    <col min="6661" max="6661" width="14.140625" style="4" customWidth="1"/>
    <col min="6662" max="6662" width="15.28515625" style="4" customWidth="1"/>
    <col min="6663" max="6912" width="9.140625" style="4"/>
    <col min="6913" max="6913" width="6" style="4" customWidth="1"/>
    <col min="6914" max="6914" width="32.85546875" style="4" customWidth="1"/>
    <col min="6915" max="6915" width="4.85546875" style="4" customWidth="1"/>
    <col min="6916" max="6916" width="9.85546875" style="4" customWidth="1"/>
    <col min="6917" max="6917" width="14.140625" style="4" customWidth="1"/>
    <col min="6918" max="6918" width="15.28515625" style="4" customWidth="1"/>
    <col min="6919" max="7168" width="9.140625" style="4"/>
    <col min="7169" max="7169" width="6" style="4" customWidth="1"/>
    <col min="7170" max="7170" width="32.85546875" style="4" customWidth="1"/>
    <col min="7171" max="7171" width="4.85546875" style="4" customWidth="1"/>
    <col min="7172" max="7172" width="9.85546875" style="4" customWidth="1"/>
    <col min="7173" max="7173" width="14.140625" style="4" customWidth="1"/>
    <col min="7174" max="7174" width="15.28515625" style="4" customWidth="1"/>
    <col min="7175" max="7424" width="9.140625" style="4"/>
    <col min="7425" max="7425" width="6" style="4" customWidth="1"/>
    <col min="7426" max="7426" width="32.85546875" style="4" customWidth="1"/>
    <col min="7427" max="7427" width="4.85546875" style="4" customWidth="1"/>
    <col min="7428" max="7428" width="9.85546875" style="4" customWidth="1"/>
    <col min="7429" max="7429" width="14.140625" style="4" customWidth="1"/>
    <col min="7430" max="7430" width="15.28515625" style="4" customWidth="1"/>
    <col min="7431" max="7680" width="9.140625" style="4"/>
    <col min="7681" max="7681" width="6" style="4" customWidth="1"/>
    <col min="7682" max="7682" width="32.85546875" style="4" customWidth="1"/>
    <col min="7683" max="7683" width="4.85546875" style="4" customWidth="1"/>
    <col min="7684" max="7684" width="9.85546875" style="4" customWidth="1"/>
    <col min="7685" max="7685" width="14.140625" style="4" customWidth="1"/>
    <col min="7686" max="7686" width="15.28515625" style="4" customWidth="1"/>
    <col min="7687" max="7936" width="9.140625" style="4"/>
    <col min="7937" max="7937" width="6" style="4" customWidth="1"/>
    <col min="7938" max="7938" width="32.85546875" style="4" customWidth="1"/>
    <col min="7939" max="7939" width="4.85546875" style="4" customWidth="1"/>
    <col min="7940" max="7940" width="9.85546875" style="4" customWidth="1"/>
    <col min="7941" max="7941" width="14.140625" style="4" customWidth="1"/>
    <col min="7942" max="7942" width="15.28515625" style="4" customWidth="1"/>
    <col min="7943" max="8192" width="9.140625" style="4"/>
    <col min="8193" max="8193" width="6" style="4" customWidth="1"/>
    <col min="8194" max="8194" width="32.85546875" style="4" customWidth="1"/>
    <col min="8195" max="8195" width="4.85546875" style="4" customWidth="1"/>
    <col min="8196" max="8196" width="9.85546875" style="4" customWidth="1"/>
    <col min="8197" max="8197" width="14.140625" style="4" customWidth="1"/>
    <col min="8198" max="8198" width="15.28515625" style="4" customWidth="1"/>
    <col min="8199" max="8448" width="9.140625" style="4"/>
    <col min="8449" max="8449" width="6" style="4" customWidth="1"/>
    <col min="8450" max="8450" width="32.85546875" style="4" customWidth="1"/>
    <col min="8451" max="8451" width="4.85546875" style="4" customWidth="1"/>
    <col min="8452" max="8452" width="9.85546875" style="4" customWidth="1"/>
    <col min="8453" max="8453" width="14.140625" style="4" customWidth="1"/>
    <col min="8454" max="8454" width="15.28515625" style="4" customWidth="1"/>
    <col min="8455" max="8704" width="9.140625" style="4"/>
    <col min="8705" max="8705" width="6" style="4" customWidth="1"/>
    <col min="8706" max="8706" width="32.85546875" style="4" customWidth="1"/>
    <col min="8707" max="8707" width="4.85546875" style="4" customWidth="1"/>
    <col min="8708" max="8708" width="9.85546875" style="4" customWidth="1"/>
    <col min="8709" max="8709" width="14.140625" style="4" customWidth="1"/>
    <col min="8710" max="8710" width="15.28515625" style="4" customWidth="1"/>
    <col min="8711" max="8960" width="9.140625" style="4"/>
    <col min="8961" max="8961" width="6" style="4" customWidth="1"/>
    <col min="8962" max="8962" width="32.85546875" style="4" customWidth="1"/>
    <col min="8963" max="8963" width="4.85546875" style="4" customWidth="1"/>
    <col min="8964" max="8964" width="9.85546875" style="4" customWidth="1"/>
    <col min="8965" max="8965" width="14.140625" style="4" customWidth="1"/>
    <col min="8966" max="8966" width="15.28515625" style="4" customWidth="1"/>
    <col min="8967" max="9216" width="9.140625" style="4"/>
    <col min="9217" max="9217" width="6" style="4" customWidth="1"/>
    <col min="9218" max="9218" width="32.85546875" style="4" customWidth="1"/>
    <col min="9219" max="9219" width="4.85546875" style="4" customWidth="1"/>
    <col min="9220" max="9220" width="9.85546875" style="4" customWidth="1"/>
    <col min="9221" max="9221" width="14.140625" style="4" customWidth="1"/>
    <col min="9222" max="9222" width="15.28515625" style="4" customWidth="1"/>
    <col min="9223" max="9472" width="9.140625" style="4"/>
    <col min="9473" max="9473" width="6" style="4" customWidth="1"/>
    <col min="9474" max="9474" width="32.85546875" style="4" customWidth="1"/>
    <col min="9475" max="9475" width="4.85546875" style="4" customWidth="1"/>
    <col min="9476" max="9476" width="9.85546875" style="4" customWidth="1"/>
    <col min="9477" max="9477" width="14.140625" style="4" customWidth="1"/>
    <col min="9478" max="9478" width="15.28515625" style="4" customWidth="1"/>
    <col min="9479" max="9728" width="9.140625" style="4"/>
    <col min="9729" max="9729" width="6" style="4" customWidth="1"/>
    <col min="9730" max="9730" width="32.85546875" style="4" customWidth="1"/>
    <col min="9731" max="9731" width="4.85546875" style="4" customWidth="1"/>
    <col min="9732" max="9732" width="9.85546875" style="4" customWidth="1"/>
    <col min="9733" max="9733" width="14.140625" style="4" customWidth="1"/>
    <col min="9734" max="9734" width="15.28515625" style="4" customWidth="1"/>
    <col min="9735" max="9984" width="9.140625" style="4"/>
    <col min="9985" max="9985" width="6" style="4" customWidth="1"/>
    <col min="9986" max="9986" width="32.85546875" style="4" customWidth="1"/>
    <col min="9987" max="9987" width="4.85546875" style="4" customWidth="1"/>
    <col min="9988" max="9988" width="9.85546875" style="4" customWidth="1"/>
    <col min="9989" max="9989" width="14.140625" style="4" customWidth="1"/>
    <col min="9990" max="9990" width="15.28515625" style="4" customWidth="1"/>
    <col min="9991" max="10240" width="9.140625" style="4"/>
    <col min="10241" max="10241" width="6" style="4" customWidth="1"/>
    <col min="10242" max="10242" width="32.85546875" style="4" customWidth="1"/>
    <col min="10243" max="10243" width="4.85546875" style="4" customWidth="1"/>
    <col min="10244" max="10244" width="9.85546875" style="4" customWidth="1"/>
    <col min="10245" max="10245" width="14.140625" style="4" customWidth="1"/>
    <col min="10246" max="10246" width="15.28515625" style="4" customWidth="1"/>
    <col min="10247" max="10496" width="9.140625" style="4"/>
    <col min="10497" max="10497" width="6" style="4" customWidth="1"/>
    <col min="10498" max="10498" width="32.85546875" style="4" customWidth="1"/>
    <col min="10499" max="10499" width="4.85546875" style="4" customWidth="1"/>
    <col min="10500" max="10500" width="9.85546875" style="4" customWidth="1"/>
    <col min="10501" max="10501" width="14.140625" style="4" customWidth="1"/>
    <col min="10502" max="10502" width="15.28515625" style="4" customWidth="1"/>
    <col min="10503" max="10752" width="9.140625" style="4"/>
    <col min="10753" max="10753" width="6" style="4" customWidth="1"/>
    <col min="10754" max="10754" width="32.85546875" style="4" customWidth="1"/>
    <col min="10755" max="10755" width="4.85546875" style="4" customWidth="1"/>
    <col min="10756" max="10756" width="9.85546875" style="4" customWidth="1"/>
    <col min="10757" max="10757" width="14.140625" style="4" customWidth="1"/>
    <col min="10758" max="10758" width="15.28515625" style="4" customWidth="1"/>
    <col min="10759" max="11008" width="9.140625" style="4"/>
    <col min="11009" max="11009" width="6" style="4" customWidth="1"/>
    <col min="11010" max="11010" width="32.85546875" style="4" customWidth="1"/>
    <col min="11011" max="11011" width="4.85546875" style="4" customWidth="1"/>
    <col min="11012" max="11012" width="9.85546875" style="4" customWidth="1"/>
    <col min="11013" max="11013" width="14.140625" style="4" customWidth="1"/>
    <col min="11014" max="11014" width="15.28515625" style="4" customWidth="1"/>
    <col min="11015" max="11264" width="9.140625" style="4"/>
    <col min="11265" max="11265" width="6" style="4" customWidth="1"/>
    <col min="11266" max="11266" width="32.85546875" style="4" customWidth="1"/>
    <col min="11267" max="11267" width="4.85546875" style="4" customWidth="1"/>
    <col min="11268" max="11268" width="9.85546875" style="4" customWidth="1"/>
    <col min="11269" max="11269" width="14.140625" style="4" customWidth="1"/>
    <col min="11270" max="11270" width="15.28515625" style="4" customWidth="1"/>
    <col min="11271" max="11520" width="9.140625" style="4"/>
    <col min="11521" max="11521" width="6" style="4" customWidth="1"/>
    <col min="11522" max="11522" width="32.85546875" style="4" customWidth="1"/>
    <col min="11523" max="11523" width="4.85546875" style="4" customWidth="1"/>
    <col min="11524" max="11524" width="9.85546875" style="4" customWidth="1"/>
    <col min="11525" max="11525" width="14.140625" style="4" customWidth="1"/>
    <col min="11526" max="11526" width="15.28515625" style="4" customWidth="1"/>
    <col min="11527" max="11776" width="9.140625" style="4"/>
    <col min="11777" max="11777" width="6" style="4" customWidth="1"/>
    <col min="11778" max="11778" width="32.85546875" style="4" customWidth="1"/>
    <col min="11779" max="11779" width="4.85546875" style="4" customWidth="1"/>
    <col min="11780" max="11780" width="9.85546875" style="4" customWidth="1"/>
    <col min="11781" max="11781" width="14.140625" style="4" customWidth="1"/>
    <col min="11782" max="11782" width="15.28515625" style="4" customWidth="1"/>
    <col min="11783" max="12032" width="9.140625" style="4"/>
    <col min="12033" max="12033" width="6" style="4" customWidth="1"/>
    <col min="12034" max="12034" width="32.85546875" style="4" customWidth="1"/>
    <col min="12035" max="12035" width="4.85546875" style="4" customWidth="1"/>
    <col min="12036" max="12036" width="9.85546875" style="4" customWidth="1"/>
    <col min="12037" max="12037" width="14.140625" style="4" customWidth="1"/>
    <col min="12038" max="12038" width="15.28515625" style="4" customWidth="1"/>
    <col min="12039" max="12288" width="9.140625" style="4"/>
    <col min="12289" max="12289" width="6" style="4" customWidth="1"/>
    <col min="12290" max="12290" width="32.85546875" style="4" customWidth="1"/>
    <col min="12291" max="12291" width="4.85546875" style="4" customWidth="1"/>
    <col min="12292" max="12292" width="9.85546875" style="4" customWidth="1"/>
    <col min="12293" max="12293" width="14.140625" style="4" customWidth="1"/>
    <col min="12294" max="12294" width="15.28515625" style="4" customWidth="1"/>
    <col min="12295" max="12544" width="9.140625" style="4"/>
    <col min="12545" max="12545" width="6" style="4" customWidth="1"/>
    <col min="12546" max="12546" width="32.85546875" style="4" customWidth="1"/>
    <col min="12547" max="12547" width="4.85546875" style="4" customWidth="1"/>
    <col min="12548" max="12548" width="9.85546875" style="4" customWidth="1"/>
    <col min="12549" max="12549" width="14.140625" style="4" customWidth="1"/>
    <col min="12550" max="12550" width="15.28515625" style="4" customWidth="1"/>
    <col min="12551" max="12800" width="9.140625" style="4"/>
    <col min="12801" max="12801" width="6" style="4" customWidth="1"/>
    <col min="12802" max="12802" width="32.85546875" style="4" customWidth="1"/>
    <col min="12803" max="12803" width="4.85546875" style="4" customWidth="1"/>
    <col min="12804" max="12804" width="9.85546875" style="4" customWidth="1"/>
    <col min="12805" max="12805" width="14.140625" style="4" customWidth="1"/>
    <col min="12806" max="12806" width="15.28515625" style="4" customWidth="1"/>
    <col min="12807" max="13056" width="9.140625" style="4"/>
    <col min="13057" max="13057" width="6" style="4" customWidth="1"/>
    <col min="13058" max="13058" width="32.85546875" style="4" customWidth="1"/>
    <col min="13059" max="13059" width="4.85546875" style="4" customWidth="1"/>
    <col min="13060" max="13060" width="9.85546875" style="4" customWidth="1"/>
    <col min="13061" max="13061" width="14.140625" style="4" customWidth="1"/>
    <col min="13062" max="13062" width="15.28515625" style="4" customWidth="1"/>
    <col min="13063" max="13312" width="9.140625" style="4"/>
    <col min="13313" max="13313" width="6" style="4" customWidth="1"/>
    <col min="13314" max="13314" width="32.85546875" style="4" customWidth="1"/>
    <col min="13315" max="13315" width="4.85546875" style="4" customWidth="1"/>
    <col min="13316" max="13316" width="9.85546875" style="4" customWidth="1"/>
    <col min="13317" max="13317" width="14.140625" style="4" customWidth="1"/>
    <col min="13318" max="13318" width="15.28515625" style="4" customWidth="1"/>
    <col min="13319" max="13568" width="9.140625" style="4"/>
    <col min="13569" max="13569" width="6" style="4" customWidth="1"/>
    <col min="13570" max="13570" width="32.85546875" style="4" customWidth="1"/>
    <col min="13571" max="13571" width="4.85546875" style="4" customWidth="1"/>
    <col min="13572" max="13572" width="9.85546875" style="4" customWidth="1"/>
    <col min="13573" max="13573" width="14.140625" style="4" customWidth="1"/>
    <col min="13574" max="13574" width="15.28515625" style="4" customWidth="1"/>
    <col min="13575" max="13824" width="9.140625" style="4"/>
    <col min="13825" max="13825" width="6" style="4" customWidth="1"/>
    <col min="13826" max="13826" width="32.85546875" style="4" customWidth="1"/>
    <col min="13827" max="13827" width="4.85546875" style="4" customWidth="1"/>
    <col min="13828" max="13828" width="9.85546875" style="4" customWidth="1"/>
    <col min="13829" max="13829" width="14.140625" style="4" customWidth="1"/>
    <col min="13830" max="13830" width="15.28515625" style="4" customWidth="1"/>
    <col min="13831" max="14080" width="9.140625" style="4"/>
    <col min="14081" max="14081" width="6" style="4" customWidth="1"/>
    <col min="14082" max="14082" width="32.85546875" style="4" customWidth="1"/>
    <col min="14083" max="14083" width="4.85546875" style="4" customWidth="1"/>
    <col min="14084" max="14084" width="9.85546875" style="4" customWidth="1"/>
    <col min="14085" max="14085" width="14.140625" style="4" customWidth="1"/>
    <col min="14086" max="14086" width="15.28515625" style="4" customWidth="1"/>
    <col min="14087" max="14336" width="9.140625" style="4"/>
    <col min="14337" max="14337" width="6" style="4" customWidth="1"/>
    <col min="14338" max="14338" width="32.85546875" style="4" customWidth="1"/>
    <col min="14339" max="14339" width="4.85546875" style="4" customWidth="1"/>
    <col min="14340" max="14340" width="9.85546875" style="4" customWidth="1"/>
    <col min="14341" max="14341" width="14.140625" style="4" customWidth="1"/>
    <col min="14342" max="14342" width="15.28515625" style="4" customWidth="1"/>
    <col min="14343" max="14592" width="9.140625" style="4"/>
    <col min="14593" max="14593" width="6" style="4" customWidth="1"/>
    <col min="14594" max="14594" width="32.85546875" style="4" customWidth="1"/>
    <col min="14595" max="14595" width="4.85546875" style="4" customWidth="1"/>
    <col min="14596" max="14596" width="9.85546875" style="4" customWidth="1"/>
    <col min="14597" max="14597" width="14.140625" style="4" customWidth="1"/>
    <col min="14598" max="14598" width="15.28515625" style="4" customWidth="1"/>
    <col min="14599" max="14848" width="9.140625" style="4"/>
    <col min="14849" max="14849" width="6" style="4" customWidth="1"/>
    <col min="14850" max="14850" width="32.85546875" style="4" customWidth="1"/>
    <col min="14851" max="14851" width="4.85546875" style="4" customWidth="1"/>
    <col min="14852" max="14852" width="9.85546875" style="4" customWidth="1"/>
    <col min="14853" max="14853" width="14.140625" style="4" customWidth="1"/>
    <col min="14854" max="14854" width="15.28515625" style="4" customWidth="1"/>
    <col min="14855" max="15104" width="9.140625" style="4"/>
    <col min="15105" max="15105" width="6" style="4" customWidth="1"/>
    <col min="15106" max="15106" width="32.85546875" style="4" customWidth="1"/>
    <col min="15107" max="15107" width="4.85546875" style="4" customWidth="1"/>
    <col min="15108" max="15108" width="9.85546875" style="4" customWidth="1"/>
    <col min="15109" max="15109" width="14.140625" style="4" customWidth="1"/>
    <col min="15110" max="15110" width="15.28515625" style="4" customWidth="1"/>
    <col min="15111" max="15360" width="9.140625" style="4"/>
    <col min="15361" max="15361" width="6" style="4" customWidth="1"/>
    <col min="15362" max="15362" width="32.85546875" style="4" customWidth="1"/>
    <col min="15363" max="15363" width="4.85546875" style="4" customWidth="1"/>
    <col min="15364" max="15364" width="9.85546875" style="4" customWidth="1"/>
    <col min="15365" max="15365" width="14.140625" style="4" customWidth="1"/>
    <col min="15366" max="15366" width="15.28515625" style="4" customWidth="1"/>
    <col min="15367" max="15616" width="9.140625" style="4"/>
    <col min="15617" max="15617" width="6" style="4" customWidth="1"/>
    <col min="15618" max="15618" width="32.85546875" style="4" customWidth="1"/>
    <col min="15619" max="15619" width="4.85546875" style="4" customWidth="1"/>
    <col min="15620" max="15620" width="9.85546875" style="4" customWidth="1"/>
    <col min="15621" max="15621" width="14.140625" style="4" customWidth="1"/>
    <col min="15622" max="15622" width="15.28515625" style="4" customWidth="1"/>
    <col min="15623" max="15872" width="9.140625" style="4"/>
    <col min="15873" max="15873" width="6" style="4" customWidth="1"/>
    <col min="15874" max="15874" width="32.85546875" style="4" customWidth="1"/>
    <col min="15875" max="15875" width="4.85546875" style="4" customWidth="1"/>
    <col min="15876" max="15876" width="9.85546875" style="4" customWidth="1"/>
    <col min="15877" max="15877" width="14.140625" style="4" customWidth="1"/>
    <col min="15878" max="15878" width="15.28515625" style="4" customWidth="1"/>
    <col min="15879" max="16128" width="9.140625" style="4"/>
    <col min="16129" max="16129" width="6" style="4" customWidth="1"/>
    <col min="16130" max="16130" width="32.85546875" style="4" customWidth="1"/>
    <col min="16131" max="16131" width="4.85546875" style="4" customWidth="1"/>
    <col min="16132" max="16132" width="9.85546875" style="4" customWidth="1"/>
    <col min="16133" max="16133" width="14.140625" style="4" customWidth="1"/>
    <col min="16134" max="16134" width="15.28515625" style="4" customWidth="1"/>
    <col min="16135" max="16384" width="9.140625" style="4"/>
  </cols>
  <sheetData>
    <row r="1" spans="1:6">
      <c r="A1" s="236" t="s">
        <v>247</v>
      </c>
      <c r="B1" s="237" t="s">
        <v>248</v>
      </c>
      <c r="C1" s="237" t="s">
        <v>249</v>
      </c>
      <c r="D1" s="237" t="s">
        <v>250</v>
      </c>
      <c r="E1" s="237" t="s">
        <v>251</v>
      </c>
      <c r="F1" s="238" t="s">
        <v>252</v>
      </c>
    </row>
    <row r="2" spans="1:6">
      <c r="A2" s="239"/>
      <c r="B2" s="240"/>
      <c r="C2" s="240"/>
      <c r="D2" s="241"/>
    </row>
    <row r="3" spans="1:6">
      <c r="A3" s="281" t="s">
        <v>608</v>
      </c>
      <c r="B3" s="282"/>
      <c r="C3" s="282"/>
      <c r="D3" s="283"/>
      <c r="E3" s="282"/>
      <c r="F3" s="284"/>
    </row>
    <row r="4" spans="1:6">
      <c r="D4" s="241"/>
      <c r="E4" s="475"/>
      <c r="F4" s="476"/>
    </row>
    <row r="5" spans="1:6">
      <c r="A5" s="239">
        <v>1</v>
      </c>
      <c r="B5" s="240" t="s">
        <v>253</v>
      </c>
      <c r="C5" s="240" t="s">
        <v>254</v>
      </c>
      <c r="D5" s="241">
        <v>1</v>
      </c>
      <c r="E5" s="528"/>
      <c r="F5" s="476">
        <f>(D5*E5)</f>
        <v>0</v>
      </c>
    </row>
    <row r="6" spans="1:6">
      <c r="A6" s="239"/>
      <c r="B6" s="240"/>
      <c r="C6" s="240"/>
      <c r="D6" s="241"/>
      <c r="E6" s="475"/>
      <c r="F6" s="476"/>
    </row>
    <row r="7" spans="1:6">
      <c r="A7" s="239"/>
      <c r="B7" s="240"/>
      <c r="C7" s="240"/>
      <c r="D7" s="241"/>
      <c r="E7" s="475"/>
      <c r="F7" s="476"/>
    </row>
    <row r="8" spans="1:6">
      <c r="A8" s="239">
        <v>2</v>
      </c>
      <c r="B8" s="240" t="s">
        <v>255</v>
      </c>
      <c r="D8" s="241"/>
      <c r="E8" s="475"/>
      <c r="F8" s="476"/>
    </row>
    <row r="9" spans="1:6">
      <c r="A9" s="239"/>
      <c r="B9" s="240" t="s">
        <v>256</v>
      </c>
      <c r="D9" s="241"/>
      <c r="E9" s="475"/>
      <c r="F9" s="476"/>
    </row>
    <row r="10" spans="1:6">
      <c r="A10" s="239"/>
      <c r="B10" s="240" t="s">
        <v>257</v>
      </c>
      <c r="D10" s="241"/>
      <c r="E10" s="475"/>
      <c r="F10" s="476"/>
    </row>
    <row r="11" spans="1:6">
      <c r="A11" s="239"/>
      <c r="B11" s="240" t="s">
        <v>258</v>
      </c>
      <c r="E11" s="475"/>
      <c r="F11" s="476"/>
    </row>
    <row r="12" spans="1:6">
      <c r="A12" s="239"/>
      <c r="B12" s="240" t="s">
        <v>259</v>
      </c>
      <c r="E12" s="475"/>
      <c r="F12" s="476"/>
    </row>
    <row r="13" spans="1:6">
      <c r="B13" s="242" t="s">
        <v>260</v>
      </c>
      <c r="E13" s="475"/>
      <c r="F13" s="476"/>
    </row>
    <row r="14" spans="1:6">
      <c r="E14" s="475"/>
      <c r="F14" s="476"/>
    </row>
    <row r="15" spans="1:6">
      <c r="B15" s="242" t="s">
        <v>261</v>
      </c>
      <c r="C15" s="240" t="s">
        <v>262</v>
      </c>
      <c r="D15" s="241">
        <f>4.5*4.5*2</f>
        <v>40.5</v>
      </c>
      <c r="E15" s="528"/>
      <c r="F15" s="476">
        <f>(D15*E15)</f>
        <v>0</v>
      </c>
    </row>
    <row r="16" spans="1:6">
      <c r="C16" s="240"/>
      <c r="D16" s="241"/>
      <c r="E16" s="475"/>
      <c r="F16" s="476"/>
    </row>
    <row r="17" spans="1:6">
      <c r="B17" s="242" t="s">
        <v>263</v>
      </c>
      <c r="C17" s="240" t="s">
        <v>262</v>
      </c>
      <c r="D17" s="241">
        <f>4.5*4.5*2</f>
        <v>40.5</v>
      </c>
      <c r="E17" s="528"/>
      <c r="F17" s="476">
        <f>(D17*E17)</f>
        <v>0</v>
      </c>
    </row>
    <row r="18" spans="1:6">
      <c r="C18" s="240"/>
      <c r="D18" s="241"/>
      <c r="E18" s="475"/>
      <c r="F18" s="476"/>
    </row>
    <row r="19" spans="1:6">
      <c r="B19" s="242" t="s">
        <v>361</v>
      </c>
      <c r="C19" s="240" t="s">
        <v>262</v>
      </c>
      <c r="D19" s="241">
        <f>4.5*4.5*1.7</f>
        <v>34.424999999999997</v>
      </c>
      <c r="E19" s="528"/>
      <c r="F19" s="476">
        <f>(D19*E19)</f>
        <v>0</v>
      </c>
    </row>
    <row r="20" spans="1:6">
      <c r="E20" s="475"/>
      <c r="F20" s="476"/>
    </row>
    <row r="21" spans="1:6">
      <c r="A21" s="239">
        <v>3</v>
      </c>
      <c r="B21" s="240" t="s">
        <v>264</v>
      </c>
      <c r="C21" s="240"/>
      <c r="D21" s="241"/>
      <c r="E21" s="475"/>
      <c r="F21" s="476"/>
    </row>
    <row r="22" spans="1:6">
      <c r="A22" s="239"/>
      <c r="B22" s="240" t="s">
        <v>265</v>
      </c>
      <c r="E22" s="475"/>
      <c r="F22" s="476"/>
    </row>
    <row r="23" spans="1:6">
      <c r="B23" s="242" t="s">
        <v>362</v>
      </c>
      <c r="C23" s="240" t="s">
        <v>262</v>
      </c>
      <c r="D23" s="241">
        <f>(D15+D17+D19)*1.25</f>
        <v>144.28125</v>
      </c>
      <c r="E23" s="528"/>
      <c r="F23" s="476">
        <f>(D23*E23)</f>
        <v>0</v>
      </c>
    </row>
    <row r="24" spans="1:6">
      <c r="C24" s="240"/>
      <c r="D24" s="241"/>
      <c r="E24" s="475"/>
      <c r="F24" s="476"/>
    </row>
    <row r="25" spans="1:6">
      <c r="E25" s="475"/>
      <c r="F25" s="476"/>
    </row>
    <row r="26" spans="1:6">
      <c r="A26" s="239">
        <v>4</v>
      </c>
      <c r="B26" s="240" t="s">
        <v>266</v>
      </c>
      <c r="E26" s="475"/>
      <c r="F26" s="476"/>
    </row>
    <row r="27" spans="1:6">
      <c r="A27" s="239"/>
      <c r="B27" s="240" t="s">
        <v>267</v>
      </c>
      <c r="E27" s="475"/>
      <c r="F27" s="476"/>
    </row>
    <row r="28" spans="1:6">
      <c r="B28" s="242" t="s">
        <v>268</v>
      </c>
      <c r="C28" s="240" t="s">
        <v>269</v>
      </c>
      <c r="D28" s="241">
        <f>4.5*6*4</f>
        <v>108</v>
      </c>
      <c r="E28" s="528"/>
      <c r="F28" s="476">
        <f>(D28*E28)</f>
        <v>0</v>
      </c>
    </row>
    <row r="29" spans="1:6">
      <c r="E29" s="475"/>
      <c r="F29" s="476"/>
    </row>
    <row r="30" spans="1:6">
      <c r="E30" s="475"/>
      <c r="F30" s="476"/>
    </row>
    <row r="31" spans="1:6">
      <c r="A31" s="239">
        <v>5</v>
      </c>
      <c r="B31" s="240" t="s">
        <v>270</v>
      </c>
      <c r="E31" s="475"/>
      <c r="F31" s="476"/>
    </row>
    <row r="32" spans="1:6">
      <c r="A32" s="239"/>
      <c r="B32" s="240" t="s">
        <v>271</v>
      </c>
      <c r="C32" s="240" t="s">
        <v>269</v>
      </c>
      <c r="D32" s="241">
        <f>4.5*4.5</f>
        <v>20.25</v>
      </c>
      <c r="E32" s="528"/>
      <c r="F32" s="476">
        <f>(D32*E32)</f>
        <v>0</v>
      </c>
    </row>
    <row r="33" spans="1:6">
      <c r="A33" s="239"/>
      <c r="B33" s="240"/>
      <c r="C33" s="240"/>
      <c r="D33" s="241"/>
      <c r="E33" s="475"/>
      <c r="F33" s="476"/>
    </row>
    <row r="34" spans="1:6">
      <c r="A34" s="239"/>
      <c r="B34" s="240"/>
      <c r="C34" s="240"/>
      <c r="D34" s="241"/>
      <c r="E34" s="475"/>
      <c r="F34" s="476"/>
    </row>
    <row r="35" spans="1:6">
      <c r="A35" s="239">
        <v>6</v>
      </c>
      <c r="B35" s="240" t="s">
        <v>272</v>
      </c>
      <c r="E35" s="475"/>
      <c r="F35" s="476"/>
    </row>
    <row r="36" spans="1:6">
      <c r="A36" s="239"/>
      <c r="B36" s="240" t="s">
        <v>273</v>
      </c>
      <c r="C36" s="240" t="s">
        <v>269</v>
      </c>
      <c r="D36" s="241">
        <f>4.5*4.5*0.15</f>
        <v>3.0375000000000001</v>
      </c>
      <c r="E36" s="528"/>
      <c r="F36" s="476">
        <f>(D36*E36)</f>
        <v>0</v>
      </c>
    </row>
    <row r="37" spans="1:6">
      <c r="A37" s="239"/>
      <c r="B37" s="240"/>
      <c r="C37" s="240"/>
      <c r="D37" s="241"/>
      <c r="E37" s="475"/>
      <c r="F37" s="476"/>
    </row>
    <row r="38" spans="1:6">
      <c r="A38" s="239"/>
      <c r="B38" s="240"/>
      <c r="C38" s="240"/>
      <c r="D38" s="241"/>
      <c r="E38" s="475"/>
      <c r="F38" s="476"/>
    </row>
    <row r="39" spans="1:6">
      <c r="A39" s="239">
        <v>7</v>
      </c>
      <c r="B39" s="240" t="s">
        <v>274</v>
      </c>
      <c r="C39" s="240"/>
      <c r="D39" s="241"/>
      <c r="E39" s="475"/>
      <c r="F39" s="476"/>
    </row>
    <row r="40" spans="1:6">
      <c r="A40" s="239"/>
      <c r="B40" s="240" t="s">
        <v>349</v>
      </c>
      <c r="C40" s="240"/>
      <c r="D40" s="241"/>
      <c r="E40" s="475"/>
      <c r="F40" s="476"/>
    </row>
    <row r="41" spans="1:6">
      <c r="A41" s="239"/>
      <c r="B41" s="240" t="s">
        <v>276</v>
      </c>
      <c r="C41" s="240"/>
      <c r="D41" s="241"/>
      <c r="E41" s="475"/>
      <c r="F41" s="476"/>
    </row>
    <row r="42" spans="1:6">
      <c r="A42" s="239"/>
      <c r="B42" s="249" t="s">
        <v>363</v>
      </c>
      <c r="C42" s="240"/>
      <c r="D42" s="241"/>
      <c r="E42" s="475"/>
      <c r="F42" s="476"/>
    </row>
    <row r="43" spans="1:6">
      <c r="A43" s="239"/>
      <c r="B43" s="240"/>
      <c r="C43" s="240"/>
      <c r="D43" s="241"/>
      <c r="E43" s="475"/>
      <c r="F43" s="476"/>
    </row>
    <row r="44" spans="1:6">
      <c r="A44" s="239"/>
      <c r="B44" s="250" t="s">
        <v>277</v>
      </c>
      <c r="C44" s="240"/>
      <c r="D44" s="241"/>
      <c r="E44" s="475"/>
      <c r="F44" s="476"/>
    </row>
    <row r="45" spans="1:6">
      <c r="A45" s="239"/>
      <c r="B45" s="251" t="s">
        <v>278</v>
      </c>
      <c r="C45" s="240"/>
      <c r="D45" s="241"/>
      <c r="E45" s="475"/>
      <c r="F45" s="476"/>
    </row>
    <row r="46" spans="1:6">
      <c r="A46" s="239"/>
      <c r="B46" s="240" t="s">
        <v>279</v>
      </c>
      <c r="C46" s="240"/>
      <c r="D46" s="241"/>
      <c r="E46" s="475"/>
      <c r="F46" s="476"/>
    </row>
    <row r="47" spans="1:6">
      <c r="A47" s="239"/>
      <c r="B47" s="240" t="s">
        <v>280</v>
      </c>
      <c r="C47" s="240"/>
      <c r="D47" s="241"/>
      <c r="E47" s="475"/>
      <c r="F47" s="476"/>
    </row>
    <row r="48" spans="1:6">
      <c r="A48" s="239"/>
      <c r="B48" s="240" t="s">
        <v>281</v>
      </c>
      <c r="C48" s="240"/>
      <c r="D48" s="241"/>
      <c r="E48" s="475"/>
      <c r="F48" s="476"/>
    </row>
    <row r="49" spans="1:6">
      <c r="A49" s="239"/>
      <c r="B49" s="240" t="s">
        <v>282</v>
      </c>
      <c r="C49" s="240"/>
      <c r="D49" s="241"/>
      <c r="E49" s="475"/>
      <c r="F49" s="476"/>
    </row>
    <row r="50" spans="1:6">
      <c r="A50" s="239"/>
      <c r="B50" s="240" t="s">
        <v>283</v>
      </c>
      <c r="C50" s="240"/>
      <c r="D50" s="241"/>
      <c r="E50" s="475"/>
      <c r="F50" s="476"/>
    </row>
    <row r="51" spans="1:6">
      <c r="A51" s="239"/>
      <c r="B51" s="240" t="s">
        <v>284</v>
      </c>
      <c r="E51" s="475"/>
      <c r="F51" s="476"/>
    </row>
    <row r="52" spans="1:6">
      <c r="A52" s="239"/>
      <c r="B52" s="240" t="s">
        <v>285</v>
      </c>
      <c r="E52" s="475"/>
      <c r="F52" s="476"/>
    </row>
    <row r="53" spans="1:6">
      <c r="A53" s="239"/>
      <c r="B53" s="242" t="s">
        <v>286</v>
      </c>
      <c r="C53" s="240" t="s">
        <v>350</v>
      </c>
      <c r="D53" s="241">
        <v>1</v>
      </c>
      <c r="E53" s="528"/>
      <c r="F53" s="476">
        <f>(D53*E53)</f>
        <v>0</v>
      </c>
    </row>
    <row r="54" spans="1:6">
      <c r="A54" s="239"/>
      <c r="E54" s="475"/>
      <c r="F54" s="476"/>
    </row>
    <row r="55" spans="1:6">
      <c r="A55" s="239"/>
      <c r="B55" s="250" t="s">
        <v>288</v>
      </c>
      <c r="C55" s="240"/>
      <c r="D55" s="241"/>
      <c r="E55" s="475"/>
      <c r="F55" s="476"/>
    </row>
    <row r="56" spans="1:6">
      <c r="A56" s="239"/>
      <c r="B56" s="240" t="s">
        <v>289</v>
      </c>
      <c r="C56" s="240"/>
      <c r="D56" s="241"/>
      <c r="E56" s="475"/>
      <c r="F56" s="476"/>
    </row>
    <row r="57" spans="1:6">
      <c r="A57" s="239"/>
      <c r="B57" s="240" t="s">
        <v>364</v>
      </c>
      <c r="E57" s="475"/>
      <c r="F57" s="476"/>
    </row>
    <row r="58" spans="1:6">
      <c r="A58" s="239"/>
      <c r="B58" s="240" t="s">
        <v>622</v>
      </c>
      <c r="E58" s="475"/>
      <c r="F58" s="476"/>
    </row>
    <row r="59" spans="1:6">
      <c r="A59" s="239"/>
      <c r="B59" s="240" t="s">
        <v>291</v>
      </c>
      <c r="E59" s="475"/>
      <c r="F59" s="476"/>
    </row>
    <row r="60" spans="1:6">
      <c r="A60" s="239"/>
      <c r="B60" s="240" t="s">
        <v>623</v>
      </c>
      <c r="E60" s="475"/>
      <c r="F60" s="476"/>
    </row>
    <row r="61" spans="1:6">
      <c r="A61" s="239"/>
      <c r="B61" s="252" t="s">
        <v>292</v>
      </c>
      <c r="C61" s="240"/>
      <c r="D61" s="241"/>
      <c r="E61" s="475"/>
      <c r="F61" s="476"/>
    </row>
    <row r="62" spans="1:6">
      <c r="A62" s="239"/>
      <c r="B62" s="252" t="s">
        <v>293</v>
      </c>
      <c r="C62" s="240" t="s">
        <v>350</v>
      </c>
      <c r="D62" s="241">
        <v>1</v>
      </c>
      <c r="E62" s="528"/>
      <c r="F62" s="476">
        <f>(D62*E62)</f>
        <v>0</v>
      </c>
    </row>
    <row r="63" spans="1:6">
      <c r="A63" s="239"/>
      <c r="B63" s="240"/>
      <c r="C63" s="240"/>
      <c r="D63" s="241"/>
      <c r="E63" s="475"/>
      <c r="F63" s="476"/>
    </row>
    <row r="64" spans="1:6">
      <c r="A64" s="239"/>
      <c r="B64" s="250" t="s">
        <v>294</v>
      </c>
      <c r="C64" s="240"/>
      <c r="D64" s="241"/>
      <c r="E64" s="475"/>
      <c r="F64" s="476"/>
    </row>
    <row r="65" spans="1:6">
      <c r="A65" s="239"/>
      <c r="B65" s="240" t="s">
        <v>365</v>
      </c>
      <c r="C65" s="240"/>
      <c r="D65" s="241"/>
      <c r="E65" s="475"/>
      <c r="F65" s="476"/>
    </row>
    <row r="66" spans="1:6">
      <c r="A66" s="239"/>
      <c r="B66" s="240" t="s">
        <v>366</v>
      </c>
      <c r="C66" s="240" t="s">
        <v>350</v>
      </c>
      <c r="D66" s="241">
        <v>1</v>
      </c>
      <c r="E66" s="528"/>
      <c r="F66" s="476">
        <f>(D66*E66)</f>
        <v>0</v>
      </c>
    </row>
    <row r="67" spans="1:6">
      <c r="A67" s="239"/>
      <c r="B67" s="240"/>
      <c r="C67" s="240"/>
      <c r="D67" s="241"/>
      <c r="E67" s="475"/>
      <c r="F67" s="476"/>
    </row>
    <row r="68" spans="1:6">
      <c r="A68" s="239"/>
      <c r="B68" s="250" t="s">
        <v>295</v>
      </c>
      <c r="C68" s="240"/>
      <c r="D68" s="241"/>
      <c r="E68" s="475"/>
      <c r="F68" s="476"/>
    </row>
    <row r="69" spans="1:6">
      <c r="A69" s="239"/>
      <c r="B69" s="240" t="s">
        <v>367</v>
      </c>
      <c r="C69" s="240"/>
      <c r="D69" s="241"/>
      <c r="E69" s="475"/>
      <c r="F69" s="476"/>
    </row>
    <row r="70" spans="1:6">
      <c r="A70" s="239"/>
      <c r="B70" s="240" t="s">
        <v>368</v>
      </c>
      <c r="C70" s="240" t="s">
        <v>350</v>
      </c>
      <c r="D70" s="241">
        <v>1</v>
      </c>
      <c r="E70" s="528"/>
      <c r="F70" s="476">
        <f>(D70*E70)</f>
        <v>0</v>
      </c>
    </row>
    <row r="71" spans="1:6">
      <c r="A71" s="239"/>
      <c r="B71" s="240"/>
      <c r="C71" s="240"/>
      <c r="D71" s="241"/>
      <c r="E71" s="475"/>
      <c r="F71" s="476"/>
    </row>
    <row r="72" spans="1:6">
      <c r="A72" s="239"/>
      <c r="B72" s="250" t="s">
        <v>298</v>
      </c>
      <c r="C72" s="240"/>
      <c r="D72" s="241"/>
      <c r="E72" s="475"/>
      <c r="F72" s="476"/>
    </row>
    <row r="73" spans="1:6">
      <c r="A73" s="239"/>
      <c r="B73" s="240" t="s">
        <v>299</v>
      </c>
      <c r="C73" s="240"/>
      <c r="D73" s="241"/>
      <c r="E73" s="475"/>
      <c r="F73" s="476"/>
    </row>
    <row r="74" spans="1:6">
      <c r="A74" s="239"/>
      <c r="B74" s="240" t="s">
        <v>300</v>
      </c>
      <c r="C74" s="240"/>
      <c r="D74" s="241"/>
      <c r="E74" s="475"/>
      <c r="F74" s="476"/>
    </row>
    <row r="75" spans="1:6">
      <c r="A75" s="239"/>
      <c r="B75" s="240"/>
      <c r="C75" s="240"/>
      <c r="D75" s="241"/>
      <c r="E75" s="475"/>
      <c r="F75" s="476"/>
    </row>
    <row r="76" spans="1:6">
      <c r="A76" s="239"/>
      <c r="B76" s="240" t="s">
        <v>301</v>
      </c>
      <c r="C76" s="240" t="s">
        <v>350</v>
      </c>
      <c r="D76" s="241">
        <v>1</v>
      </c>
      <c r="E76" s="528"/>
      <c r="F76" s="476">
        <f>(D76*E76)</f>
        <v>0</v>
      </c>
    </row>
    <row r="77" spans="1:6">
      <c r="A77" s="239"/>
      <c r="B77" s="240"/>
      <c r="C77" s="240"/>
      <c r="D77" s="241"/>
      <c r="E77" s="475"/>
      <c r="F77" s="476"/>
    </row>
    <row r="78" spans="1:6">
      <c r="A78" s="239"/>
      <c r="B78" s="240" t="s">
        <v>302</v>
      </c>
      <c r="C78" s="240" t="s">
        <v>350</v>
      </c>
      <c r="D78" s="241">
        <v>1</v>
      </c>
      <c r="E78" s="528"/>
      <c r="F78" s="476">
        <f>(D78*E78)</f>
        <v>0</v>
      </c>
    </row>
    <row r="79" spans="1:6">
      <c r="A79" s="239"/>
      <c r="B79" s="240"/>
      <c r="C79" s="240"/>
      <c r="D79" s="241"/>
      <c r="E79" s="475"/>
      <c r="F79" s="476"/>
    </row>
    <row r="80" spans="1:6" ht="330.75">
      <c r="A80" s="253">
        <v>8</v>
      </c>
      <c r="B80" s="471" t="s">
        <v>635</v>
      </c>
      <c r="C80" s="473" t="s">
        <v>350</v>
      </c>
      <c r="D80" s="474">
        <v>2</v>
      </c>
      <c r="E80" s="529"/>
      <c r="F80" s="477"/>
    </row>
    <row r="81" spans="1:6">
      <c r="A81" s="239"/>
      <c r="B81" s="240"/>
      <c r="C81" s="240"/>
      <c r="D81" s="241"/>
      <c r="E81" s="475"/>
      <c r="F81" s="476"/>
    </row>
    <row r="82" spans="1:6">
      <c r="A82" s="239"/>
      <c r="B82" s="240" t="s">
        <v>369</v>
      </c>
      <c r="E82" s="475"/>
      <c r="F82" s="476"/>
    </row>
    <row r="83" spans="1:6">
      <c r="A83" s="239"/>
      <c r="B83" s="240" t="s">
        <v>304</v>
      </c>
      <c r="C83" s="240" t="s">
        <v>287</v>
      </c>
      <c r="D83" s="241">
        <v>2</v>
      </c>
      <c r="E83" s="528"/>
      <c r="F83" s="476"/>
    </row>
    <row r="84" spans="1:6">
      <c r="A84" s="239"/>
      <c r="B84" s="240"/>
      <c r="C84" s="240"/>
      <c r="D84" s="241"/>
      <c r="E84" s="475"/>
      <c r="F84" s="476"/>
    </row>
    <row r="85" spans="1:6">
      <c r="A85" s="239"/>
      <c r="B85" s="240" t="s">
        <v>305</v>
      </c>
      <c r="C85" s="240" t="s">
        <v>306</v>
      </c>
      <c r="D85" s="241">
        <v>2</v>
      </c>
      <c r="E85" s="528"/>
      <c r="F85" s="476"/>
    </row>
    <row r="86" spans="1:6">
      <c r="A86" s="239"/>
      <c r="B86" s="240"/>
      <c r="C86" s="240"/>
      <c r="D86" s="241"/>
      <c r="E86" s="475"/>
      <c r="F86" s="476"/>
    </row>
    <row r="87" spans="1:6">
      <c r="A87" s="239"/>
      <c r="B87" s="240" t="s">
        <v>370</v>
      </c>
      <c r="C87" s="240" t="s">
        <v>350</v>
      </c>
      <c r="D87" s="241">
        <v>2</v>
      </c>
      <c r="E87" s="528"/>
      <c r="F87" s="476"/>
    </row>
    <row r="88" spans="1:6">
      <c r="A88" s="239"/>
      <c r="B88" s="240"/>
      <c r="C88" s="240"/>
      <c r="D88" s="241"/>
      <c r="E88" s="475"/>
      <c r="F88" s="476"/>
    </row>
    <row r="89" spans="1:6" ht="31.5">
      <c r="A89" s="239"/>
      <c r="B89" s="257" t="s">
        <v>371</v>
      </c>
      <c r="C89" s="248" t="s">
        <v>287</v>
      </c>
      <c r="D89" s="256">
        <v>2</v>
      </c>
      <c r="E89" s="528"/>
      <c r="F89" s="476"/>
    </row>
    <row r="90" spans="1:6">
      <c r="A90" s="239"/>
      <c r="B90" s="240"/>
      <c r="C90" s="240"/>
      <c r="D90" s="241"/>
      <c r="E90" s="475"/>
      <c r="F90" s="476"/>
    </row>
    <row r="91" spans="1:6" ht="31.5">
      <c r="A91" s="239"/>
      <c r="B91" s="254" t="s">
        <v>308</v>
      </c>
      <c r="C91" s="248" t="s">
        <v>350</v>
      </c>
      <c r="D91" s="256">
        <v>2</v>
      </c>
      <c r="E91" s="528"/>
      <c r="F91" s="476"/>
    </row>
    <row r="92" spans="1:6">
      <c r="A92" s="239"/>
      <c r="B92" s="254"/>
      <c r="C92" s="248"/>
      <c r="D92" s="256"/>
      <c r="E92" s="475"/>
      <c r="F92" s="476"/>
    </row>
    <row r="93" spans="1:6" ht="31.5">
      <c r="A93" s="239"/>
      <c r="B93" s="254" t="s">
        <v>309</v>
      </c>
      <c r="C93" s="248" t="s">
        <v>287</v>
      </c>
      <c r="D93" s="256">
        <v>2</v>
      </c>
      <c r="E93" s="528"/>
      <c r="F93" s="476"/>
    </row>
    <row r="94" spans="1:6">
      <c r="A94" s="239"/>
      <c r="B94" s="254"/>
      <c r="C94" s="248"/>
      <c r="D94" s="256"/>
      <c r="E94" s="475"/>
      <c r="F94" s="476"/>
    </row>
    <row r="95" spans="1:6" ht="31.5">
      <c r="A95" s="239"/>
      <c r="B95" s="254" t="s">
        <v>310</v>
      </c>
      <c r="C95" s="248" t="s">
        <v>287</v>
      </c>
      <c r="D95" s="256">
        <v>2</v>
      </c>
      <c r="E95" s="528"/>
      <c r="F95" s="476"/>
    </row>
    <row r="96" spans="1:6">
      <c r="A96" s="239"/>
      <c r="B96" s="240"/>
      <c r="E96" s="475"/>
      <c r="F96" s="476"/>
    </row>
    <row r="97" spans="1:6" ht="31.5">
      <c r="A97" s="239"/>
      <c r="B97" s="254" t="s">
        <v>311</v>
      </c>
      <c r="C97" s="248" t="s">
        <v>287</v>
      </c>
      <c r="D97" s="256">
        <v>2</v>
      </c>
      <c r="E97" s="528"/>
      <c r="F97" s="476"/>
    </row>
    <row r="98" spans="1:6">
      <c r="A98" s="239"/>
      <c r="B98" s="240"/>
      <c r="E98" s="475"/>
      <c r="F98" s="476"/>
    </row>
    <row r="99" spans="1:6" ht="31.5">
      <c r="A99" s="239"/>
      <c r="B99" s="254" t="s">
        <v>312</v>
      </c>
      <c r="C99" s="248" t="s">
        <v>287</v>
      </c>
      <c r="D99" s="256">
        <v>2</v>
      </c>
      <c r="E99" s="528"/>
      <c r="F99" s="476"/>
    </row>
    <row r="100" spans="1:6">
      <c r="A100" s="239"/>
      <c r="B100" s="240"/>
      <c r="E100" s="475"/>
      <c r="F100" s="476"/>
    </row>
    <row r="101" spans="1:6" ht="31.5">
      <c r="A101" s="239"/>
      <c r="B101" s="254" t="s">
        <v>372</v>
      </c>
      <c r="C101" s="248" t="s">
        <v>287</v>
      </c>
      <c r="D101" s="256">
        <v>2</v>
      </c>
      <c r="E101" s="528"/>
      <c r="F101" s="476"/>
    </row>
    <row r="102" spans="1:6">
      <c r="A102" s="239"/>
      <c r="B102" s="240"/>
      <c r="C102" s="4"/>
      <c r="D102" s="4"/>
      <c r="E102" s="475"/>
      <c r="F102" s="476"/>
    </row>
    <row r="103" spans="1:6" ht="31.5">
      <c r="A103" s="239"/>
      <c r="B103" s="288" t="s">
        <v>373</v>
      </c>
      <c r="C103" s="289" t="s">
        <v>287</v>
      </c>
      <c r="D103" s="290">
        <v>2</v>
      </c>
      <c r="E103" s="528"/>
      <c r="F103" s="476"/>
    </row>
    <row r="104" spans="1:6">
      <c r="A104" s="239"/>
      <c r="B104" s="240"/>
      <c r="E104" s="478"/>
      <c r="F104" s="479"/>
    </row>
    <row r="105" spans="1:6">
      <c r="A105" s="239"/>
      <c r="B105" s="250" t="s">
        <v>315</v>
      </c>
      <c r="C105" s="250" t="s">
        <v>254</v>
      </c>
      <c r="D105" s="285">
        <v>1</v>
      </c>
      <c r="E105" s="530"/>
      <c r="F105" s="480">
        <f>D105*E105</f>
        <v>0</v>
      </c>
    </row>
    <row r="106" spans="1:6">
      <c r="A106" s="239"/>
      <c r="B106" s="240"/>
      <c r="C106" s="240"/>
      <c r="D106" s="241"/>
      <c r="E106" s="475"/>
      <c r="F106" s="476"/>
    </row>
    <row r="107" spans="1:6" ht="110.25">
      <c r="A107" s="239" t="s">
        <v>624</v>
      </c>
      <c r="B107" s="472" t="s">
        <v>625</v>
      </c>
      <c r="C107" s="240" t="s">
        <v>287</v>
      </c>
      <c r="D107" s="241">
        <v>2</v>
      </c>
      <c r="E107" s="528"/>
      <c r="F107" s="476">
        <f>(D107*E107)</f>
        <v>0</v>
      </c>
    </row>
    <row r="108" spans="1:6">
      <c r="A108" s="239"/>
      <c r="B108" s="240"/>
      <c r="C108" s="240"/>
      <c r="D108" s="241"/>
      <c r="E108" s="475"/>
      <c r="F108" s="476"/>
    </row>
    <row r="109" spans="1:6">
      <c r="A109" s="239">
        <v>9</v>
      </c>
      <c r="B109" s="240" t="s">
        <v>316</v>
      </c>
      <c r="C109" s="240"/>
      <c r="D109" s="241"/>
      <c r="E109" s="475"/>
      <c r="F109" s="476"/>
    </row>
    <row r="110" spans="1:6">
      <c r="A110" s="239"/>
      <c r="B110" s="240" t="s">
        <v>317</v>
      </c>
      <c r="C110" s="240"/>
      <c r="D110" s="241"/>
      <c r="E110" s="475"/>
      <c r="F110" s="476"/>
    </row>
    <row r="111" spans="1:6">
      <c r="A111" s="239"/>
      <c r="B111" s="240"/>
      <c r="E111" s="475"/>
      <c r="F111" s="476"/>
    </row>
    <row r="112" spans="1:6">
      <c r="A112" s="239"/>
      <c r="B112" s="240" t="s">
        <v>374</v>
      </c>
      <c r="C112" s="240" t="s">
        <v>350</v>
      </c>
      <c r="D112" s="241">
        <v>1</v>
      </c>
      <c r="E112" s="528"/>
      <c r="F112" s="476">
        <f>(D112*E112)</f>
        <v>0</v>
      </c>
    </row>
    <row r="113" spans="1:6">
      <c r="A113" s="239"/>
      <c r="B113" s="240"/>
      <c r="C113" s="240"/>
      <c r="D113" s="241"/>
      <c r="E113" s="481"/>
      <c r="F113" s="476"/>
    </row>
    <row r="114" spans="1:6">
      <c r="A114" s="239"/>
      <c r="B114" s="240" t="s">
        <v>375</v>
      </c>
      <c r="E114" s="481"/>
      <c r="F114" s="476"/>
    </row>
    <row r="115" spans="1:6">
      <c r="A115" s="239"/>
      <c r="B115" s="240" t="s">
        <v>320</v>
      </c>
      <c r="C115" s="240" t="s">
        <v>350</v>
      </c>
      <c r="D115" s="241">
        <v>1</v>
      </c>
      <c r="E115" s="528"/>
      <c r="F115" s="476">
        <f>(D115*E115)</f>
        <v>0</v>
      </c>
    </row>
    <row r="116" spans="1:6">
      <c r="A116" s="239"/>
      <c r="B116" s="240"/>
      <c r="C116" s="240"/>
      <c r="D116" s="241"/>
      <c r="E116" s="475"/>
      <c r="F116" s="476"/>
    </row>
    <row r="117" spans="1:6">
      <c r="A117" s="239"/>
      <c r="B117" s="240"/>
      <c r="C117" s="240"/>
      <c r="D117" s="241"/>
      <c r="E117" s="475"/>
      <c r="F117" s="476"/>
    </row>
    <row r="118" spans="1:6">
      <c r="A118" s="239">
        <v>10</v>
      </c>
      <c r="B118" s="240" t="s">
        <v>321</v>
      </c>
      <c r="C118" s="240"/>
      <c r="D118" s="241"/>
      <c r="E118" s="475"/>
      <c r="F118" s="476"/>
    </row>
    <row r="119" spans="1:6">
      <c r="A119" s="239"/>
      <c r="B119" s="240" t="s">
        <v>322</v>
      </c>
      <c r="C119" s="240"/>
      <c r="D119" s="241"/>
      <c r="E119" s="475"/>
      <c r="F119" s="476"/>
    </row>
    <row r="120" spans="1:6">
      <c r="A120" s="239"/>
      <c r="B120" s="240" t="s">
        <v>323</v>
      </c>
      <c r="C120" s="240"/>
      <c r="D120" s="241"/>
      <c r="E120" s="475"/>
      <c r="F120" s="476"/>
    </row>
    <row r="121" spans="1:6">
      <c r="A121" s="239"/>
      <c r="B121" s="240" t="s">
        <v>324</v>
      </c>
      <c r="C121" s="240"/>
      <c r="D121" s="241"/>
      <c r="E121" s="475"/>
      <c r="F121" s="476"/>
    </row>
    <row r="122" spans="1:6">
      <c r="A122" s="239"/>
      <c r="B122" s="240"/>
      <c r="C122" s="240"/>
      <c r="D122" s="241"/>
      <c r="E122" s="475"/>
      <c r="F122" s="476"/>
    </row>
    <row r="123" spans="1:6">
      <c r="A123" s="239"/>
      <c r="B123" s="240" t="s">
        <v>376</v>
      </c>
      <c r="C123" s="240" t="s">
        <v>350</v>
      </c>
      <c r="D123" s="241">
        <v>1</v>
      </c>
      <c r="E123" s="528"/>
      <c r="F123" s="476">
        <f>(D123*E123)</f>
        <v>0</v>
      </c>
    </row>
    <row r="124" spans="1:6">
      <c r="A124" s="239"/>
      <c r="B124" s="240"/>
      <c r="C124" s="240"/>
      <c r="D124" s="241"/>
      <c r="E124" s="475"/>
      <c r="F124" s="476"/>
    </row>
    <row r="125" spans="1:6">
      <c r="A125" s="239"/>
      <c r="B125" s="240" t="s">
        <v>380</v>
      </c>
      <c r="C125" s="240" t="s">
        <v>350</v>
      </c>
      <c r="D125" s="241">
        <v>2</v>
      </c>
      <c r="E125" s="528"/>
      <c r="F125" s="476">
        <f>(D125*E125)</f>
        <v>0</v>
      </c>
    </row>
    <row r="126" spans="1:6">
      <c r="A126" s="239"/>
      <c r="B126" s="240"/>
      <c r="C126" s="240"/>
      <c r="D126" s="241"/>
      <c r="E126" s="475"/>
      <c r="F126" s="476"/>
    </row>
    <row r="127" spans="1:6">
      <c r="A127" s="239"/>
      <c r="B127" s="240" t="s">
        <v>377</v>
      </c>
      <c r="E127" s="475"/>
      <c r="F127" s="476"/>
    </row>
    <row r="128" spans="1:6">
      <c r="A128" s="239"/>
      <c r="B128" s="240" t="s">
        <v>351</v>
      </c>
      <c r="C128" s="240" t="s">
        <v>350</v>
      </c>
      <c r="D128" s="241">
        <v>1</v>
      </c>
      <c r="E128" s="528"/>
      <c r="F128" s="476">
        <f>(D128*E128)</f>
        <v>0</v>
      </c>
    </row>
    <row r="129" spans="1:6">
      <c r="A129" s="258"/>
      <c r="B129" s="259"/>
      <c r="C129" s="259"/>
      <c r="D129" s="260"/>
      <c r="E129" s="475"/>
      <c r="F129" s="476"/>
    </row>
    <row r="130" spans="1:6">
      <c r="A130" s="239"/>
      <c r="B130" s="240"/>
      <c r="C130" s="240"/>
      <c r="D130" s="241"/>
      <c r="E130" s="475"/>
      <c r="F130" s="476"/>
    </row>
    <row r="131" spans="1:6">
      <c r="A131" s="239">
        <v>11</v>
      </c>
      <c r="B131" s="240" t="s">
        <v>327</v>
      </c>
      <c r="C131" s="240"/>
      <c r="D131" s="241"/>
      <c r="E131" s="475"/>
      <c r="F131" s="476"/>
    </row>
    <row r="132" spans="1:6">
      <c r="A132" s="239"/>
      <c r="B132" s="240" t="s">
        <v>328</v>
      </c>
      <c r="C132" s="240"/>
      <c r="D132" s="241"/>
      <c r="E132" s="475"/>
      <c r="F132" s="476"/>
    </row>
    <row r="133" spans="1:6">
      <c r="A133" s="239"/>
      <c r="B133" s="240" t="s">
        <v>329</v>
      </c>
      <c r="E133" s="475"/>
      <c r="F133" s="476"/>
    </row>
    <row r="134" spans="1:6">
      <c r="A134" s="239"/>
      <c r="B134" s="240" t="s">
        <v>330</v>
      </c>
      <c r="E134" s="475"/>
      <c r="F134" s="476"/>
    </row>
    <row r="135" spans="1:6">
      <c r="A135" s="239"/>
      <c r="B135" s="240" t="s">
        <v>331</v>
      </c>
      <c r="E135" s="475"/>
      <c r="F135" s="476"/>
    </row>
    <row r="136" spans="1:6">
      <c r="A136" s="239"/>
      <c r="B136" s="240" t="s">
        <v>332</v>
      </c>
      <c r="C136" s="240"/>
      <c r="D136" s="241"/>
      <c r="E136" s="475"/>
      <c r="F136" s="476"/>
    </row>
    <row r="137" spans="1:6">
      <c r="A137" s="239"/>
      <c r="B137" s="240" t="s">
        <v>333</v>
      </c>
      <c r="C137" s="240" t="s">
        <v>350</v>
      </c>
      <c r="D137" s="241">
        <v>1</v>
      </c>
      <c r="E137" s="528"/>
      <c r="F137" s="476">
        <f>(D137*E137)</f>
        <v>0</v>
      </c>
    </row>
    <row r="138" spans="1:6">
      <c r="A138" s="239"/>
      <c r="B138" s="240"/>
      <c r="E138" s="475"/>
      <c r="F138" s="476"/>
    </row>
    <row r="139" spans="1:6">
      <c r="A139" s="239"/>
      <c r="B139" s="240"/>
      <c r="C139" s="240"/>
      <c r="D139" s="241"/>
      <c r="E139" s="475"/>
      <c r="F139" s="476"/>
    </row>
    <row r="140" spans="1:6">
      <c r="A140" s="239">
        <v>12</v>
      </c>
      <c r="B140" s="240" t="s">
        <v>334</v>
      </c>
      <c r="E140" s="475"/>
      <c r="F140" s="476"/>
    </row>
    <row r="141" spans="1:6">
      <c r="B141" s="240" t="s">
        <v>352</v>
      </c>
      <c r="E141" s="475"/>
      <c r="F141" s="476"/>
    </row>
    <row r="142" spans="1:6">
      <c r="A142" s="239"/>
      <c r="B142" s="240" t="s">
        <v>336</v>
      </c>
      <c r="C142" s="240" t="s">
        <v>262</v>
      </c>
      <c r="D142" s="241">
        <f>(D15+D17+D19)- (6.28+22.68)</f>
        <v>86.465000000000003</v>
      </c>
      <c r="E142" s="528"/>
      <c r="F142" s="476">
        <f>(D142*E142)</f>
        <v>0</v>
      </c>
    </row>
    <row r="143" spans="1:6">
      <c r="A143" s="239"/>
      <c r="B143" s="240"/>
      <c r="C143" s="240"/>
      <c r="D143" s="241"/>
      <c r="E143" s="475"/>
      <c r="F143" s="476"/>
    </row>
    <row r="144" spans="1:6">
      <c r="B144" s="240"/>
      <c r="E144" s="475"/>
      <c r="F144" s="476"/>
    </row>
    <row r="145" spans="1:6">
      <c r="A145" s="239">
        <v>13</v>
      </c>
      <c r="B145" s="240" t="s">
        <v>337</v>
      </c>
      <c r="D145" s="241"/>
      <c r="E145" s="475"/>
      <c r="F145" s="476"/>
    </row>
    <row r="146" spans="1:6">
      <c r="A146" s="239"/>
      <c r="B146" s="240" t="s">
        <v>338</v>
      </c>
      <c r="E146" s="475"/>
      <c r="F146" s="476"/>
    </row>
    <row r="147" spans="1:6">
      <c r="B147" s="240" t="s">
        <v>381</v>
      </c>
      <c r="C147" s="240" t="s">
        <v>262</v>
      </c>
      <c r="D147" s="241">
        <f>((D15+D17+D19)-D142)*1.25</f>
        <v>36.199999999999989</v>
      </c>
      <c r="E147" s="528"/>
      <c r="F147" s="476">
        <f>(D147*E147)</f>
        <v>0</v>
      </c>
    </row>
    <row r="148" spans="1:6">
      <c r="B148" s="240"/>
      <c r="E148" s="475"/>
      <c r="F148" s="476"/>
    </row>
    <row r="149" spans="1:6">
      <c r="B149" s="240"/>
      <c r="E149" s="475"/>
      <c r="F149" s="476"/>
    </row>
    <row r="150" spans="1:6">
      <c r="A150" s="239">
        <v>14</v>
      </c>
      <c r="B150" s="240" t="s">
        <v>353</v>
      </c>
      <c r="D150" s="241"/>
      <c r="E150" s="475"/>
      <c r="F150" s="476"/>
    </row>
    <row r="151" spans="1:6">
      <c r="A151" s="239"/>
      <c r="B151" s="240" t="s">
        <v>354</v>
      </c>
      <c r="E151" s="475"/>
      <c r="F151" s="476"/>
    </row>
    <row r="152" spans="1:6">
      <c r="A152" s="239"/>
      <c r="B152" s="240" t="s">
        <v>355</v>
      </c>
      <c r="C152" s="240" t="s">
        <v>262</v>
      </c>
      <c r="D152" s="241">
        <f>6.28+0.89</f>
        <v>7.17</v>
      </c>
      <c r="E152" s="528"/>
      <c r="F152" s="476">
        <f>(D152*E152)</f>
        <v>0</v>
      </c>
    </row>
    <row r="153" spans="1:6">
      <c r="A153" s="239"/>
      <c r="B153" s="240"/>
      <c r="E153" s="475"/>
      <c r="F153" s="476"/>
    </row>
    <row r="154" spans="1:6">
      <c r="A154" s="239"/>
      <c r="B154" s="240"/>
      <c r="C154" s="240"/>
      <c r="D154" s="241"/>
      <c r="E154" s="475"/>
      <c r="F154" s="476"/>
    </row>
    <row r="155" spans="1:6">
      <c r="A155" s="239">
        <v>15</v>
      </c>
      <c r="B155" s="240" t="s">
        <v>356</v>
      </c>
      <c r="D155" s="241"/>
      <c r="E155" s="475"/>
      <c r="F155" s="476"/>
    </row>
    <row r="156" spans="1:6">
      <c r="A156" s="239"/>
      <c r="B156" s="240"/>
      <c r="D156" s="241"/>
      <c r="E156" s="475"/>
      <c r="F156" s="476"/>
    </row>
    <row r="157" spans="1:6">
      <c r="A157" s="239"/>
      <c r="B157" s="240" t="s">
        <v>357</v>
      </c>
      <c r="C157" s="240" t="s">
        <v>344</v>
      </c>
      <c r="D157" s="241">
        <f>D152*40</f>
        <v>286.8</v>
      </c>
      <c r="E157" s="528"/>
      <c r="F157" s="476">
        <f>(D157*E157)</f>
        <v>0</v>
      </c>
    </row>
    <row r="158" spans="1:6">
      <c r="A158" s="239"/>
      <c r="B158" s="240"/>
      <c r="D158" s="241"/>
      <c r="E158" s="475"/>
      <c r="F158" s="476"/>
    </row>
    <row r="159" spans="1:6">
      <c r="A159" s="239"/>
      <c r="B159" s="240" t="s">
        <v>358</v>
      </c>
      <c r="C159" s="240" t="s">
        <v>344</v>
      </c>
      <c r="D159" s="241">
        <f>D152*60</f>
        <v>430.2</v>
      </c>
      <c r="E159" s="528"/>
      <c r="F159" s="476">
        <f>(D159*E159)</f>
        <v>0</v>
      </c>
    </row>
    <row r="160" spans="1:6">
      <c r="A160" s="239"/>
      <c r="B160" s="240"/>
      <c r="D160" s="241"/>
      <c r="E160" s="475"/>
      <c r="F160" s="476"/>
    </row>
    <row r="161" spans="1:6">
      <c r="A161" s="239"/>
      <c r="B161" s="240" t="s">
        <v>359</v>
      </c>
      <c r="C161" s="240" t="s">
        <v>344</v>
      </c>
      <c r="D161" s="241">
        <f>D152*60</f>
        <v>430.2</v>
      </c>
      <c r="E161" s="528"/>
      <c r="F161" s="476">
        <f>(D161*E161)</f>
        <v>0</v>
      </c>
    </row>
    <row r="162" spans="1:6">
      <c r="A162" s="239"/>
      <c r="B162" s="240"/>
      <c r="C162" s="240"/>
      <c r="D162" s="241"/>
      <c r="E162" s="475"/>
      <c r="F162" s="476"/>
    </row>
    <row r="163" spans="1:6">
      <c r="A163" s="239"/>
      <c r="B163" s="240"/>
      <c r="C163" s="240"/>
      <c r="D163" s="241"/>
      <c r="E163" s="475"/>
      <c r="F163" s="476"/>
    </row>
    <row r="164" spans="1:6">
      <c r="A164" s="239">
        <v>16</v>
      </c>
      <c r="B164" s="240" t="s">
        <v>626</v>
      </c>
      <c r="D164" s="241"/>
      <c r="E164" s="475"/>
      <c r="F164" s="476"/>
    </row>
    <row r="165" spans="1:6">
      <c r="A165" s="239"/>
      <c r="B165" s="240" t="s">
        <v>627</v>
      </c>
      <c r="C165" s="240"/>
      <c r="D165" s="241"/>
      <c r="E165" s="475"/>
      <c r="F165" s="476"/>
    </row>
    <row r="166" spans="1:6">
      <c r="A166" s="239"/>
      <c r="B166" s="240" t="s">
        <v>378</v>
      </c>
      <c r="D166" s="241"/>
      <c r="E166" s="475"/>
      <c r="F166" s="476"/>
    </row>
    <row r="167" spans="1:6">
      <c r="A167" s="239"/>
      <c r="B167" s="240" t="s">
        <v>342</v>
      </c>
      <c r="C167" s="240" t="s">
        <v>350</v>
      </c>
      <c r="D167" s="241">
        <v>1</v>
      </c>
      <c r="E167" s="528"/>
      <c r="F167" s="476">
        <f>(D167*E167)</f>
        <v>0</v>
      </c>
    </row>
    <row r="168" spans="1:6">
      <c r="A168" s="239"/>
      <c r="B168" s="240"/>
      <c r="C168" s="240"/>
      <c r="D168" s="241"/>
      <c r="E168" s="475"/>
      <c r="F168" s="476"/>
    </row>
    <row r="169" spans="1:6" ht="78.75">
      <c r="A169" s="253">
        <v>16</v>
      </c>
      <c r="B169" s="261" t="s">
        <v>343</v>
      </c>
      <c r="C169" s="262" t="s">
        <v>344</v>
      </c>
      <c r="D169" s="256">
        <v>160</v>
      </c>
      <c r="E169" s="531"/>
      <c r="F169" s="483">
        <f>(D169*E169)</f>
        <v>0</v>
      </c>
    </row>
    <row r="170" spans="1:6" ht="16.5">
      <c r="A170" s="253"/>
      <c r="B170" s="261"/>
      <c r="C170" s="262"/>
      <c r="D170" s="256"/>
      <c r="E170" s="482"/>
      <c r="F170" s="483"/>
    </row>
    <row r="171" spans="1:6" ht="16.5">
      <c r="A171" s="253"/>
      <c r="B171" s="263"/>
      <c r="C171" s="264"/>
      <c r="D171" s="265"/>
      <c r="E171" s="484"/>
      <c r="F171" s="485"/>
    </row>
    <row r="172" spans="1:6" ht="78.75">
      <c r="A172" s="253">
        <v>17</v>
      </c>
      <c r="B172" s="257" t="s">
        <v>345</v>
      </c>
      <c r="C172" s="262" t="s">
        <v>269</v>
      </c>
      <c r="D172" s="256">
        <v>0.8</v>
      </c>
      <c r="E172" s="531"/>
      <c r="F172" s="483">
        <f>(D172*E172)</f>
        <v>0</v>
      </c>
    </row>
    <row r="173" spans="1:6" ht="16.5">
      <c r="A173" s="253"/>
      <c r="B173" s="263"/>
      <c r="C173" s="264"/>
      <c r="D173" s="265"/>
      <c r="E173" s="484"/>
      <c r="F173" s="485"/>
    </row>
    <row r="174" spans="1:6">
      <c r="A174" s="239"/>
      <c r="B174" s="240"/>
      <c r="C174" s="240"/>
      <c r="D174" s="241"/>
      <c r="E174" s="475"/>
      <c r="F174" s="476"/>
    </row>
    <row r="175" spans="1:6" ht="63">
      <c r="A175" s="253">
        <v>18</v>
      </c>
      <c r="B175" s="257" t="s">
        <v>346</v>
      </c>
      <c r="C175" s="262" t="s">
        <v>254</v>
      </c>
      <c r="D175" s="256">
        <v>1</v>
      </c>
      <c r="E175" s="531"/>
      <c r="F175" s="483">
        <f>(D175*E175)</f>
        <v>0</v>
      </c>
    </row>
    <row r="176" spans="1:6" ht="16.5">
      <c r="A176" s="253"/>
      <c r="B176" s="257"/>
      <c r="C176" s="262"/>
      <c r="D176" s="256"/>
      <c r="E176" s="482"/>
      <c r="F176" s="483"/>
    </row>
    <row r="177" spans="1:6">
      <c r="B177" s="251"/>
      <c r="E177" s="286"/>
      <c r="F177" s="287"/>
    </row>
    <row r="178" spans="1:6">
      <c r="A178" s="269" t="s">
        <v>609</v>
      </c>
      <c r="B178" s="270" t="s">
        <v>360</v>
      </c>
      <c r="C178" s="270" t="s">
        <v>348</v>
      </c>
      <c r="D178" s="271"/>
      <c r="E178" s="532"/>
      <c r="F178" s="272">
        <f>SUM(F5:F176)</f>
        <v>0</v>
      </c>
    </row>
    <row r="179" spans="1:6">
      <c r="A179" s="273"/>
      <c r="B179" s="250"/>
    </row>
    <row r="180" spans="1:6">
      <c r="A180" s="273"/>
    </row>
    <row r="184" spans="1:6">
      <c r="E184" s="241"/>
    </row>
    <row r="185" spans="1:6">
      <c r="E185" s="241"/>
    </row>
    <row r="190" spans="1:6">
      <c r="E190" s="241"/>
    </row>
    <row r="191" spans="1:6">
      <c r="E191" s="241"/>
    </row>
    <row r="192" spans="1:6">
      <c r="E192" s="241"/>
    </row>
    <row r="234" spans="5:5">
      <c r="E234" s="241"/>
    </row>
    <row r="239" spans="5:5">
      <c r="E239" s="241"/>
    </row>
    <row r="240" spans="5:5">
      <c r="E240" s="241"/>
    </row>
    <row r="241" spans="5:5">
      <c r="E241" s="241"/>
    </row>
    <row r="242" spans="5:5">
      <c r="E242" s="241"/>
    </row>
    <row r="243" spans="5:5">
      <c r="E243" s="241"/>
    </row>
    <row r="244" spans="5:5">
      <c r="E244" s="241"/>
    </row>
    <row r="245" spans="5:5">
      <c r="E245" s="241"/>
    </row>
    <row r="246" spans="5:5">
      <c r="E246" s="241"/>
    </row>
  </sheetData>
  <sheetProtection algorithmName="SHA-512" hashValue="715u0hMTsie84x3XLoSDFgVZW91BqgL3v1soFFeTQtJWcgaDmWOcc7viuqRrrqcKIuJlYn+I+z5HVd7NalLCFA==" saltValue="4fGLkHHNWfXSvGm3jiiTdA=="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2" manualBreakCount="2">
    <brk id="37" max="5" man="1"/>
    <brk id="153"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F234"/>
  <sheetViews>
    <sheetView showZeros="0" view="pageBreakPreview" topLeftCell="C1" zoomScaleNormal="100" zoomScaleSheetLayoutView="100" workbookViewId="0">
      <selection activeCell="H57" sqref="H57"/>
    </sheetView>
  </sheetViews>
  <sheetFormatPr defaultRowHeight="15.75"/>
  <cols>
    <col min="1" max="1" width="6" style="248" customWidth="1"/>
    <col min="2" max="2" width="32.85546875" style="242" customWidth="1"/>
    <col min="3" max="3" width="4.85546875" style="242" customWidth="1"/>
    <col min="4" max="4" width="9.85546875" style="242" customWidth="1"/>
    <col min="5" max="5" width="14.140625" style="242" customWidth="1"/>
    <col min="6" max="6" width="15.28515625" style="243" customWidth="1"/>
    <col min="7" max="256" width="9.140625" style="4"/>
    <col min="257" max="257" width="6" style="4" customWidth="1"/>
    <col min="258" max="258" width="32.85546875" style="4" customWidth="1"/>
    <col min="259" max="259" width="4.85546875" style="4" customWidth="1"/>
    <col min="260" max="260" width="9.85546875" style="4" customWidth="1"/>
    <col min="261" max="261" width="14.140625" style="4" customWidth="1"/>
    <col min="262" max="262" width="15.28515625" style="4" customWidth="1"/>
    <col min="263" max="512" width="9.140625" style="4"/>
    <col min="513" max="513" width="6" style="4" customWidth="1"/>
    <col min="514" max="514" width="32.85546875" style="4" customWidth="1"/>
    <col min="515" max="515" width="4.85546875" style="4" customWidth="1"/>
    <col min="516" max="516" width="9.85546875" style="4" customWidth="1"/>
    <col min="517" max="517" width="14.140625" style="4" customWidth="1"/>
    <col min="518" max="518" width="15.28515625" style="4" customWidth="1"/>
    <col min="519" max="768" width="9.140625" style="4"/>
    <col min="769" max="769" width="6" style="4" customWidth="1"/>
    <col min="770" max="770" width="32.85546875" style="4" customWidth="1"/>
    <col min="771" max="771" width="4.85546875" style="4" customWidth="1"/>
    <col min="772" max="772" width="9.85546875" style="4" customWidth="1"/>
    <col min="773" max="773" width="14.140625" style="4" customWidth="1"/>
    <col min="774" max="774" width="15.28515625" style="4" customWidth="1"/>
    <col min="775" max="1024" width="9.140625" style="4"/>
    <col min="1025" max="1025" width="6" style="4" customWidth="1"/>
    <col min="1026" max="1026" width="32.85546875" style="4" customWidth="1"/>
    <col min="1027" max="1027" width="4.85546875" style="4" customWidth="1"/>
    <col min="1028" max="1028" width="9.85546875" style="4" customWidth="1"/>
    <col min="1029" max="1029" width="14.140625" style="4" customWidth="1"/>
    <col min="1030" max="1030" width="15.28515625" style="4" customWidth="1"/>
    <col min="1031" max="1280" width="9.140625" style="4"/>
    <col min="1281" max="1281" width="6" style="4" customWidth="1"/>
    <col min="1282" max="1282" width="32.85546875" style="4" customWidth="1"/>
    <col min="1283" max="1283" width="4.85546875" style="4" customWidth="1"/>
    <col min="1284" max="1284" width="9.85546875" style="4" customWidth="1"/>
    <col min="1285" max="1285" width="14.140625" style="4" customWidth="1"/>
    <col min="1286" max="1286" width="15.28515625" style="4" customWidth="1"/>
    <col min="1287" max="1536" width="9.140625" style="4"/>
    <col min="1537" max="1537" width="6" style="4" customWidth="1"/>
    <col min="1538" max="1538" width="32.85546875" style="4" customWidth="1"/>
    <col min="1539" max="1539" width="4.85546875" style="4" customWidth="1"/>
    <col min="1540" max="1540" width="9.85546875" style="4" customWidth="1"/>
    <col min="1541" max="1541" width="14.140625" style="4" customWidth="1"/>
    <col min="1542" max="1542" width="15.28515625" style="4" customWidth="1"/>
    <col min="1543" max="1792" width="9.140625" style="4"/>
    <col min="1793" max="1793" width="6" style="4" customWidth="1"/>
    <col min="1794" max="1794" width="32.85546875" style="4" customWidth="1"/>
    <col min="1795" max="1795" width="4.85546875" style="4" customWidth="1"/>
    <col min="1796" max="1796" width="9.85546875" style="4" customWidth="1"/>
    <col min="1797" max="1797" width="14.140625" style="4" customWidth="1"/>
    <col min="1798" max="1798" width="15.28515625" style="4" customWidth="1"/>
    <col min="1799" max="2048" width="9.140625" style="4"/>
    <col min="2049" max="2049" width="6" style="4" customWidth="1"/>
    <col min="2050" max="2050" width="32.85546875" style="4" customWidth="1"/>
    <col min="2051" max="2051" width="4.85546875" style="4" customWidth="1"/>
    <col min="2052" max="2052" width="9.85546875" style="4" customWidth="1"/>
    <col min="2053" max="2053" width="14.140625" style="4" customWidth="1"/>
    <col min="2054" max="2054" width="15.28515625" style="4" customWidth="1"/>
    <col min="2055" max="2304" width="9.140625" style="4"/>
    <col min="2305" max="2305" width="6" style="4" customWidth="1"/>
    <col min="2306" max="2306" width="32.85546875" style="4" customWidth="1"/>
    <col min="2307" max="2307" width="4.85546875" style="4" customWidth="1"/>
    <col min="2308" max="2308" width="9.85546875" style="4" customWidth="1"/>
    <col min="2309" max="2309" width="14.140625" style="4" customWidth="1"/>
    <col min="2310" max="2310" width="15.28515625" style="4" customWidth="1"/>
    <col min="2311" max="2560" width="9.140625" style="4"/>
    <col min="2561" max="2561" width="6" style="4" customWidth="1"/>
    <col min="2562" max="2562" width="32.85546875" style="4" customWidth="1"/>
    <col min="2563" max="2563" width="4.85546875" style="4" customWidth="1"/>
    <col min="2564" max="2564" width="9.85546875" style="4" customWidth="1"/>
    <col min="2565" max="2565" width="14.140625" style="4" customWidth="1"/>
    <col min="2566" max="2566" width="15.28515625" style="4" customWidth="1"/>
    <col min="2567" max="2816" width="9.140625" style="4"/>
    <col min="2817" max="2817" width="6" style="4" customWidth="1"/>
    <col min="2818" max="2818" width="32.85546875" style="4" customWidth="1"/>
    <col min="2819" max="2819" width="4.85546875" style="4" customWidth="1"/>
    <col min="2820" max="2820" width="9.85546875" style="4" customWidth="1"/>
    <col min="2821" max="2821" width="14.140625" style="4" customWidth="1"/>
    <col min="2822" max="2822" width="15.28515625" style="4" customWidth="1"/>
    <col min="2823" max="3072" width="9.140625" style="4"/>
    <col min="3073" max="3073" width="6" style="4" customWidth="1"/>
    <col min="3074" max="3074" width="32.85546875" style="4" customWidth="1"/>
    <col min="3075" max="3075" width="4.85546875" style="4" customWidth="1"/>
    <col min="3076" max="3076" width="9.85546875" style="4" customWidth="1"/>
    <col min="3077" max="3077" width="14.140625" style="4" customWidth="1"/>
    <col min="3078" max="3078" width="15.28515625" style="4" customWidth="1"/>
    <col min="3079" max="3328" width="9.140625" style="4"/>
    <col min="3329" max="3329" width="6" style="4" customWidth="1"/>
    <col min="3330" max="3330" width="32.85546875" style="4" customWidth="1"/>
    <col min="3331" max="3331" width="4.85546875" style="4" customWidth="1"/>
    <col min="3332" max="3332" width="9.85546875" style="4" customWidth="1"/>
    <col min="3333" max="3333" width="14.140625" style="4" customWidth="1"/>
    <col min="3334" max="3334" width="15.28515625" style="4" customWidth="1"/>
    <col min="3335" max="3584" width="9.140625" style="4"/>
    <col min="3585" max="3585" width="6" style="4" customWidth="1"/>
    <col min="3586" max="3586" width="32.85546875" style="4" customWidth="1"/>
    <col min="3587" max="3587" width="4.85546875" style="4" customWidth="1"/>
    <col min="3588" max="3588" width="9.85546875" style="4" customWidth="1"/>
    <col min="3589" max="3589" width="14.140625" style="4" customWidth="1"/>
    <col min="3590" max="3590" width="15.28515625" style="4" customWidth="1"/>
    <col min="3591" max="3840" width="9.140625" style="4"/>
    <col min="3841" max="3841" width="6" style="4" customWidth="1"/>
    <col min="3842" max="3842" width="32.85546875" style="4" customWidth="1"/>
    <col min="3843" max="3843" width="4.85546875" style="4" customWidth="1"/>
    <col min="3844" max="3844" width="9.85546875" style="4" customWidth="1"/>
    <col min="3845" max="3845" width="14.140625" style="4" customWidth="1"/>
    <col min="3846" max="3846" width="15.28515625" style="4" customWidth="1"/>
    <col min="3847" max="4096" width="9.140625" style="4"/>
    <col min="4097" max="4097" width="6" style="4" customWidth="1"/>
    <col min="4098" max="4098" width="32.85546875" style="4" customWidth="1"/>
    <col min="4099" max="4099" width="4.85546875" style="4" customWidth="1"/>
    <col min="4100" max="4100" width="9.85546875" style="4" customWidth="1"/>
    <col min="4101" max="4101" width="14.140625" style="4" customWidth="1"/>
    <col min="4102" max="4102" width="15.28515625" style="4" customWidth="1"/>
    <col min="4103" max="4352" width="9.140625" style="4"/>
    <col min="4353" max="4353" width="6" style="4" customWidth="1"/>
    <col min="4354" max="4354" width="32.85546875" style="4" customWidth="1"/>
    <col min="4355" max="4355" width="4.85546875" style="4" customWidth="1"/>
    <col min="4356" max="4356" width="9.85546875" style="4" customWidth="1"/>
    <col min="4357" max="4357" width="14.140625" style="4" customWidth="1"/>
    <col min="4358" max="4358" width="15.28515625" style="4" customWidth="1"/>
    <col min="4359" max="4608" width="9.140625" style="4"/>
    <col min="4609" max="4609" width="6" style="4" customWidth="1"/>
    <col min="4610" max="4610" width="32.85546875" style="4" customWidth="1"/>
    <col min="4611" max="4611" width="4.85546875" style="4" customWidth="1"/>
    <col min="4612" max="4612" width="9.85546875" style="4" customWidth="1"/>
    <col min="4613" max="4613" width="14.140625" style="4" customWidth="1"/>
    <col min="4614" max="4614" width="15.28515625" style="4" customWidth="1"/>
    <col min="4615" max="4864" width="9.140625" style="4"/>
    <col min="4865" max="4865" width="6" style="4" customWidth="1"/>
    <col min="4866" max="4866" width="32.85546875" style="4" customWidth="1"/>
    <col min="4867" max="4867" width="4.85546875" style="4" customWidth="1"/>
    <col min="4868" max="4868" width="9.85546875" style="4" customWidth="1"/>
    <col min="4869" max="4869" width="14.140625" style="4" customWidth="1"/>
    <col min="4870" max="4870" width="15.28515625" style="4" customWidth="1"/>
    <col min="4871" max="5120" width="9.140625" style="4"/>
    <col min="5121" max="5121" width="6" style="4" customWidth="1"/>
    <col min="5122" max="5122" width="32.85546875" style="4" customWidth="1"/>
    <col min="5123" max="5123" width="4.85546875" style="4" customWidth="1"/>
    <col min="5124" max="5124" width="9.85546875" style="4" customWidth="1"/>
    <col min="5125" max="5125" width="14.140625" style="4" customWidth="1"/>
    <col min="5126" max="5126" width="15.28515625" style="4" customWidth="1"/>
    <col min="5127" max="5376" width="9.140625" style="4"/>
    <col min="5377" max="5377" width="6" style="4" customWidth="1"/>
    <col min="5378" max="5378" width="32.85546875" style="4" customWidth="1"/>
    <col min="5379" max="5379" width="4.85546875" style="4" customWidth="1"/>
    <col min="5380" max="5380" width="9.85546875" style="4" customWidth="1"/>
    <col min="5381" max="5381" width="14.140625" style="4" customWidth="1"/>
    <col min="5382" max="5382" width="15.28515625" style="4" customWidth="1"/>
    <col min="5383" max="5632" width="9.140625" style="4"/>
    <col min="5633" max="5633" width="6" style="4" customWidth="1"/>
    <col min="5634" max="5634" width="32.85546875" style="4" customWidth="1"/>
    <col min="5635" max="5635" width="4.85546875" style="4" customWidth="1"/>
    <col min="5636" max="5636" width="9.85546875" style="4" customWidth="1"/>
    <col min="5637" max="5637" width="14.140625" style="4" customWidth="1"/>
    <col min="5638" max="5638" width="15.28515625" style="4" customWidth="1"/>
    <col min="5639" max="5888" width="9.140625" style="4"/>
    <col min="5889" max="5889" width="6" style="4" customWidth="1"/>
    <col min="5890" max="5890" width="32.85546875" style="4" customWidth="1"/>
    <col min="5891" max="5891" width="4.85546875" style="4" customWidth="1"/>
    <col min="5892" max="5892" width="9.85546875" style="4" customWidth="1"/>
    <col min="5893" max="5893" width="14.140625" style="4" customWidth="1"/>
    <col min="5894" max="5894" width="15.28515625" style="4" customWidth="1"/>
    <col min="5895" max="6144" width="9.140625" style="4"/>
    <col min="6145" max="6145" width="6" style="4" customWidth="1"/>
    <col min="6146" max="6146" width="32.85546875" style="4" customWidth="1"/>
    <col min="6147" max="6147" width="4.85546875" style="4" customWidth="1"/>
    <col min="6148" max="6148" width="9.85546875" style="4" customWidth="1"/>
    <col min="6149" max="6149" width="14.140625" style="4" customWidth="1"/>
    <col min="6150" max="6150" width="15.28515625" style="4" customWidth="1"/>
    <col min="6151" max="6400" width="9.140625" style="4"/>
    <col min="6401" max="6401" width="6" style="4" customWidth="1"/>
    <col min="6402" max="6402" width="32.85546875" style="4" customWidth="1"/>
    <col min="6403" max="6403" width="4.85546875" style="4" customWidth="1"/>
    <col min="6404" max="6404" width="9.85546875" style="4" customWidth="1"/>
    <col min="6405" max="6405" width="14.140625" style="4" customWidth="1"/>
    <col min="6406" max="6406" width="15.28515625" style="4" customWidth="1"/>
    <col min="6407" max="6656" width="9.140625" style="4"/>
    <col min="6657" max="6657" width="6" style="4" customWidth="1"/>
    <col min="6658" max="6658" width="32.85546875" style="4" customWidth="1"/>
    <col min="6659" max="6659" width="4.85546875" style="4" customWidth="1"/>
    <col min="6660" max="6660" width="9.85546875" style="4" customWidth="1"/>
    <col min="6661" max="6661" width="14.140625" style="4" customWidth="1"/>
    <col min="6662" max="6662" width="15.28515625" style="4" customWidth="1"/>
    <col min="6663" max="6912" width="9.140625" style="4"/>
    <col min="6913" max="6913" width="6" style="4" customWidth="1"/>
    <col min="6914" max="6914" width="32.85546875" style="4" customWidth="1"/>
    <col min="6915" max="6915" width="4.85546875" style="4" customWidth="1"/>
    <col min="6916" max="6916" width="9.85546875" style="4" customWidth="1"/>
    <col min="6917" max="6917" width="14.140625" style="4" customWidth="1"/>
    <col min="6918" max="6918" width="15.28515625" style="4" customWidth="1"/>
    <col min="6919" max="7168" width="9.140625" style="4"/>
    <col min="7169" max="7169" width="6" style="4" customWidth="1"/>
    <col min="7170" max="7170" width="32.85546875" style="4" customWidth="1"/>
    <col min="7171" max="7171" width="4.85546875" style="4" customWidth="1"/>
    <col min="7172" max="7172" width="9.85546875" style="4" customWidth="1"/>
    <col min="7173" max="7173" width="14.140625" style="4" customWidth="1"/>
    <col min="7174" max="7174" width="15.28515625" style="4" customWidth="1"/>
    <col min="7175" max="7424" width="9.140625" style="4"/>
    <col min="7425" max="7425" width="6" style="4" customWidth="1"/>
    <col min="7426" max="7426" width="32.85546875" style="4" customWidth="1"/>
    <col min="7427" max="7427" width="4.85546875" style="4" customWidth="1"/>
    <col min="7428" max="7428" width="9.85546875" style="4" customWidth="1"/>
    <col min="7429" max="7429" width="14.140625" style="4" customWidth="1"/>
    <col min="7430" max="7430" width="15.28515625" style="4" customWidth="1"/>
    <col min="7431" max="7680" width="9.140625" style="4"/>
    <col min="7681" max="7681" width="6" style="4" customWidth="1"/>
    <col min="7682" max="7682" width="32.85546875" style="4" customWidth="1"/>
    <col min="7683" max="7683" width="4.85546875" style="4" customWidth="1"/>
    <col min="7684" max="7684" width="9.85546875" style="4" customWidth="1"/>
    <col min="7685" max="7685" width="14.140625" style="4" customWidth="1"/>
    <col min="7686" max="7686" width="15.28515625" style="4" customWidth="1"/>
    <col min="7687" max="7936" width="9.140625" style="4"/>
    <col min="7937" max="7937" width="6" style="4" customWidth="1"/>
    <col min="7938" max="7938" width="32.85546875" style="4" customWidth="1"/>
    <col min="7939" max="7939" width="4.85546875" style="4" customWidth="1"/>
    <col min="7940" max="7940" width="9.85546875" style="4" customWidth="1"/>
    <col min="7941" max="7941" width="14.140625" style="4" customWidth="1"/>
    <col min="7942" max="7942" width="15.28515625" style="4" customWidth="1"/>
    <col min="7943" max="8192" width="9.140625" style="4"/>
    <col min="8193" max="8193" width="6" style="4" customWidth="1"/>
    <col min="8194" max="8194" width="32.85546875" style="4" customWidth="1"/>
    <col min="8195" max="8195" width="4.85546875" style="4" customWidth="1"/>
    <col min="8196" max="8196" width="9.85546875" style="4" customWidth="1"/>
    <col min="8197" max="8197" width="14.140625" style="4" customWidth="1"/>
    <col min="8198" max="8198" width="15.28515625" style="4" customWidth="1"/>
    <col min="8199" max="8448" width="9.140625" style="4"/>
    <col min="8449" max="8449" width="6" style="4" customWidth="1"/>
    <col min="8450" max="8450" width="32.85546875" style="4" customWidth="1"/>
    <col min="8451" max="8451" width="4.85546875" style="4" customWidth="1"/>
    <col min="8452" max="8452" width="9.85546875" style="4" customWidth="1"/>
    <col min="8453" max="8453" width="14.140625" style="4" customWidth="1"/>
    <col min="8454" max="8454" width="15.28515625" style="4" customWidth="1"/>
    <col min="8455" max="8704" width="9.140625" style="4"/>
    <col min="8705" max="8705" width="6" style="4" customWidth="1"/>
    <col min="8706" max="8706" width="32.85546875" style="4" customWidth="1"/>
    <col min="8707" max="8707" width="4.85546875" style="4" customWidth="1"/>
    <col min="8708" max="8708" width="9.85546875" style="4" customWidth="1"/>
    <col min="8709" max="8709" width="14.140625" style="4" customWidth="1"/>
    <col min="8710" max="8710" width="15.28515625" style="4" customWidth="1"/>
    <col min="8711" max="8960" width="9.140625" style="4"/>
    <col min="8961" max="8961" width="6" style="4" customWidth="1"/>
    <col min="8962" max="8962" width="32.85546875" style="4" customWidth="1"/>
    <col min="8963" max="8963" width="4.85546875" style="4" customWidth="1"/>
    <col min="8964" max="8964" width="9.85546875" style="4" customWidth="1"/>
    <col min="8965" max="8965" width="14.140625" style="4" customWidth="1"/>
    <col min="8966" max="8966" width="15.28515625" style="4" customWidth="1"/>
    <col min="8967" max="9216" width="9.140625" style="4"/>
    <col min="9217" max="9217" width="6" style="4" customWidth="1"/>
    <col min="9218" max="9218" width="32.85546875" style="4" customWidth="1"/>
    <col min="9219" max="9219" width="4.85546875" style="4" customWidth="1"/>
    <col min="9220" max="9220" width="9.85546875" style="4" customWidth="1"/>
    <col min="9221" max="9221" width="14.140625" style="4" customWidth="1"/>
    <col min="9222" max="9222" width="15.28515625" style="4" customWidth="1"/>
    <col min="9223" max="9472" width="9.140625" style="4"/>
    <col min="9473" max="9473" width="6" style="4" customWidth="1"/>
    <col min="9474" max="9474" width="32.85546875" style="4" customWidth="1"/>
    <col min="9475" max="9475" width="4.85546875" style="4" customWidth="1"/>
    <col min="9476" max="9476" width="9.85546875" style="4" customWidth="1"/>
    <col min="9477" max="9477" width="14.140625" style="4" customWidth="1"/>
    <col min="9478" max="9478" width="15.28515625" style="4" customWidth="1"/>
    <col min="9479" max="9728" width="9.140625" style="4"/>
    <col min="9729" max="9729" width="6" style="4" customWidth="1"/>
    <col min="9730" max="9730" width="32.85546875" style="4" customWidth="1"/>
    <col min="9731" max="9731" width="4.85546875" style="4" customWidth="1"/>
    <col min="9732" max="9732" width="9.85546875" style="4" customWidth="1"/>
    <col min="9733" max="9733" width="14.140625" style="4" customWidth="1"/>
    <col min="9734" max="9734" width="15.28515625" style="4" customWidth="1"/>
    <col min="9735" max="9984" width="9.140625" style="4"/>
    <col min="9985" max="9985" width="6" style="4" customWidth="1"/>
    <col min="9986" max="9986" width="32.85546875" style="4" customWidth="1"/>
    <col min="9987" max="9987" width="4.85546875" style="4" customWidth="1"/>
    <col min="9988" max="9988" width="9.85546875" style="4" customWidth="1"/>
    <col min="9989" max="9989" width="14.140625" style="4" customWidth="1"/>
    <col min="9990" max="9990" width="15.28515625" style="4" customWidth="1"/>
    <col min="9991" max="10240" width="9.140625" style="4"/>
    <col min="10241" max="10241" width="6" style="4" customWidth="1"/>
    <col min="10242" max="10242" width="32.85546875" style="4" customWidth="1"/>
    <col min="10243" max="10243" width="4.85546875" style="4" customWidth="1"/>
    <col min="10244" max="10244" width="9.85546875" style="4" customWidth="1"/>
    <col min="10245" max="10245" width="14.140625" style="4" customWidth="1"/>
    <col min="10246" max="10246" width="15.28515625" style="4" customWidth="1"/>
    <col min="10247" max="10496" width="9.140625" style="4"/>
    <col min="10497" max="10497" width="6" style="4" customWidth="1"/>
    <col min="10498" max="10498" width="32.85546875" style="4" customWidth="1"/>
    <col min="10499" max="10499" width="4.85546875" style="4" customWidth="1"/>
    <col min="10500" max="10500" width="9.85546875" style="4" customWidth="1"/>
    <col min="10501" max="10501" width="14.140625" style="4" customWidth="1"/>
    <col min="10502" max="10502" width="15.28515625" style="4" customWidth="1"/>
    <col min="10503" max="10752" width="9.140625" style="4"/>
    <col min="10753" max="10753" width="6" style="4" customWidth="1"/>
    <col min="10754" max="10754" width="32.85546875" style="4" customWidth="1"/>
    <col min="10755" max="10755" width="4.85546875" style="4" customWidth="1"/>
    <col min="10756" max="10756" width="9.85546875" style="4" customWidth="1"/>
    <col min="10757" max="10757" width="14.140625" style="4" customWidth="1"/>
    <col min="10758" max="10758" width="15.28515625" style="4" customWidth="1"/>
    <col min="10759" max="11008" width="9.140625" style="4"/>
    <col min="11009" max="11009" width="6" style="4" customWidth="1"/>
    <col min="11010" max="11010" width="32.85546875" style="4" customWidth="1"/>
    <col min="11011" max="11011" width="4.85546875" style="4" customWidth="1"/>
    <col min="11012" max="11012" width="9.85546875" style="4" customWidth="1"/>
    <col min="11013" max="11013" width="14.140625" style="4" customWidth="1"/>
    <col min="11014" max="11014" width="15.28515625" style="4" customWidth="1"/>
    <col min="11015" max="11264" width="9.140625" style="4"/>
    <col min="11265" max="11265" width="6" style="4" customWidth="1"/>
    <col min="11266" max="11266" width="32.85546875" style="4" customWidth="1"/>
    <col min="11267" max="11267" width="4.85546875" style="4" customWidth="1"/>
    <col min="11268" max="11268" width="9.85546875" style="4" customWidth="1"/>
    <col min="11269" max="11269" width="14.140625" style="4" customWidth="1"/>
    <col min="11270" max="11270" width="15.28515625" style="4" customWidth="1"/>
    <col min="11271" max="11520" width="9.140625" style="4"/>
    <col min="11521" max="11521" width="6" style="4" customWidth="1"/>
    <col min="11522" max="11522" width="32.85546875" style="4" customWidth="1"/>
    <col min="11523" max="11523" width="4.85546875" style="4" customWidth="1"/>
    <col min="11524" max="11524" width="9.85546875" style="4" customWidth="1"/>
    <col min="11525" max="11525" width="14.140625" style="4" customWidth="1"/>
    <col min="11526" max="11526" width="15.28515625" style="4" customWidth="1"/>
    <col min="11527" max="11776" width="9.140625" style="4"/>
    <col min="11777" max="11777" width="6" style="4" customWidth="1"/>
    <col min="11778" max="11778" width="32.85546875" style="4" customWidth="1"/>
    <col min="11779" max="11779" width="4.85546875" style="4" customWidth="1"/>
    <col min="11780" max="11780" width="9.85546875" style="4" customWidth="1"/>
    <col min="11781" max="11781" width="14.140625" style="4" customWidth="1"/>
    <col min="11782" max="11782" width="15.28515625" style="4" customWidth="1"/>
    <col min="11783" max="12032" width="9.140625" style="4"/>
    <col min="12033" max="12033" width="6" style="4" customWidth="1"/>
    <col min="12034" max="12034" width="32.85546875" style="4" customWidth="1"/>
    <col min="12035" max="12035" width="4.85546875" style="4" customWidth="1"/>
    <col min="12036" max="12036" width="9.85546875" style="4" customWidth="1"/>
    <col min="12037" max="12037" width="14.140625" style="4" customWidth="1"/>
    <col min="12038" max="12038" width="15.28515625" style="4" customWidth="1"/>
    <col min="12039" max="12288" width="9.140625" style="4"/>
    <col min="12289" max="12289" width="6" style="4" customWidth="1"/>
    <col min="12290" max="12290" width="32.85546875" style="4" customWidth="1"/>
    <col min="12291" max="12291" width="4.85546875" style="4" customWidth="1"/>
    <col min="12292" max="12292" width="9.85546875" style="4" customWidth="1"/>
    <col min="12293" max="12293" width="14.140625" style="4" customWidth="1"/>
    <col min="12294" max="12294" width="15.28515625" style="4" customWidth="1"/>
    <col min="12295" max="12544" width="9.140625" style="4"/>
    <col min="12545" max="12545" width="6" style="4" customWidth="1"/>
    <col min="12546" max="12546" width="32.85546875" style="4" customWidth="1"/>
    <col min="12547" max="12547" width="4.85546875" style="4" customWidth="1"/>
    <col min="12548" max="12548" width="9.85546875" style="4" customWidth="1"/>
    <col min="12549" max="12549" width="14.140625" style="4" customWidth="1"/>
    <col min="12550" max="12550" width="15.28515625" style="4" customWidth="1"/>
    <col min="12551" max="12800" width="9.140625" style="4"/>
    <col min="12801" max="12801" width="6" style="4" customWidth="1"/>
    <col min="12802" max="12802" width="32.85546875" style="4" customWidth="1"/>
    <col min="12803" max="12803" width="4.85546875" style="4" customWidth="1"/>
    <col min="12804" max="12804" width="9.85546875" style="4" customWidth="1"/>
    <col min="12805" max="12805" width="14.140625" style="4" customWidth="1"/>
    <col min="12806" max="12806" width="15.28515625" style="4" customWidth="1"/>
    <col min="12807" max="13056" width="9.140625" style="4"/>
    <col min="13057" max="13057" width="6" style="4" customWidth="1"/>
    <col min="13058" max="13058" width="32.85546875" style="4" customWidth="1"/>
    <col min="13059" max="13059" width="4.85546875" style="4" customWidth="1"/>
    <col min="13060" max="13060" width="9.85546875" style="4" customWidth="1"/>
    <col min="13061" max="13061" width="14.140625" style="4" customWidth="1"/>
    <col min="13062" max="13062" width="15.28515625" style="4" customWidth="1"/>
    <col min="13063" max="13312" width="9.140625" style="4"/>
    <col min="13313" max="13313" width="6" style="4" customWidth="1"/>
    <col min="13314" max="13314" width="32.85546875" style="4" customWidth="1"/>
    <col min="13315" max="13315" width="4.85546875" style="4" customWidth="1"/>
    <col min="13316" max="13316" width="9.85546875" style="4" customWidth="1"/>
    <col min="13317" max="13317" width="14.140625" style="4" customWidth="1"/>
    <col min="13318" max="13318" width="15.28515625" style="4" customWidth="1"/>
    <col min="13319" max="13568" width="9.140625" style="4"/>
    <col min="13569" max="13569" width="6" style="4" customWidth="1"/>
    <col min="13570" max="13570" width="32.85546875" style="4" customWidth="1"/>
    <col min="13571" max="13571" width="4.85546875" style="4" customWidth="1"/>
    <col min="13572" max="13572" width="9.85546875" style="4" customWidth="1"/>
    <col min="13573" max="13573" width="14.140625" style="4" customWidth="1"/>
    <col min="13574" max="13574" width="15.28515625" style="4" customWidth="1"/>
    <col min="13575" max="13824" width="9.140625" style="4"/>
    <col min="13825" max="13825" width="6" style="4" customWidth="1"/>
    <col min="13826" max="13826" width="32.85546875" style="4" customWidth="1"/>
    <col min="13827" max="13827" width="4.85546875" style="4" customWidth="1"/>
    <col min="13828" max="13828" width="9.85546875" style="4" customWidth="1"/>
    <col min="13829" max="13829" width="14.140625" style="4" customWidth="1"/>
    <col min="13830" max="13830" width="15.28515625" style="4" customWidth="1"/>
    <col min="13831" max="14080" width="9.140625" style="4"/>
    <col min="14081" max="14081" width="6" style="4" customWidth="1"/>
    <col min="14082" max="14082" width="32.85546875" style="4" customWidth="1"/>
    <col min="14083" max="14083" width="4.85546875" style="4" customWidth="1"/>
    <col min="14084" max="14084" width="9.85546875" style="4" customWidth="1"/>
    <col min="14085" max="14085" width="14.140625" style="4" customWidth="1"/>
    <col min="14086" max="14086" width="15.28515625" style="4" customWidth="1"/>
    <col min="14087" max="14336" width="9.140625" style="4"/>
    <col min="14337" max="14337" width="6" style="4" customWidth="1"/>
    <col min="14338" max="14338" width="32.85546875" style="4" customWidth="1"/>
    <col min="14339" max="14339" width="4.85546875" style="4" customWidth="1"/>
    <col min="14340" max="14340" width="9.85546875" style="4" customWidth="1"/>
    <col min="14341" max="14341" width="14.140625" style="4" customWidth="1"/>
    <col min="14342" max="14342" width="15.28515625" style="4" customWidth="1"/>
    <col min="14343" max="14592" width="9.140625" style="4"/>
    <col min="14593" max="14593" width="6" style="4" customWidth="1"/>
    <col min="14594" max="14594" width="32.85546875" style="4" customWidth="1"/>
    <col min="14595" max="14595" width="4.85546875" style="4" customWidth="1"/>
    <col min="14596" max="14596" width="9.85546875" style="4" customWidth="1"/>
    <col min="14597" max="14597" width="14.140625" style="4" customWidth="1"/>
    <col min="14598" max="14598" width="15.28515625" style="4" customWidth="1"/>
    <col min="14599" max="14848" width="9.140625" style="4"/>
    <col min="14849" max="14849" width="6" style="4" customWidth="1"/>
    <col min="14850" max="14850" width="32.85546875" style="4" customWidth="1"/>
    <col min="14851" max="14851" width="4.85546875" style="4" customWidth="1"/>
    <col min="14852" max="14852" width="9.85546875" style="4" customWidth="1"/>
    <col min="14853" max="14853" width="14.140625" style="4" customWidth="1"/>
    <col min="14854" max="14854" width="15.28515625" style="4" customWidth="1"/>
    <col min="14855" max="15104" width="9.140625" style="4"/>
    <col min="15105" max="15105" width="6" style="4" customWidth="1"/>
    <col min="15106" max="15106" width="32.85546875" style="4" customWidth="1"/>
    <col min="15107" max="15107" width="4.85546875" style="4" customWidth="1"/>
    <col min="15108" max="15108" width="9.85546875" style="4" customWidth="1"/>
    <col min="15109" max="15109" width="14.140625" style="4" customWidth="1"/>
    <col min="15110" max="15110" width="15.28515625" style="4" customWidth="1"/>
    <col min="15111" max="15360" width="9.140625" style="4"/>
    <col min="15361" max="15361" width="6" style="4" customWidth="1"/>
    <col min="15362" max="15362" width="32.85546875" style="4" customWidth="1"/>
    <col min="15363" max="15363" width="4.85546875" style="4" customWidth="1"/>
    <col min="15364" max="15364" width="9.85546875" style="4" customWidth="1"/>
    <col min="15365" max="15365" width="14.140625" style="4" customWidth="1"/>
    <col min="15366" max="15366" width="15.28515625" style="4" customWidth="1"/>
    <col min="15367" max="15616" width="9.140625" style="4"/>
    <col min="15617" max="15617" width="6" style="4" customWidth="1"/>
    <col min="15618" max="15618" width="32.85546875" style="4" customWidth="1"/>
    <col min="15619" max="15619" width="4.85546875" style="4" customWidth="1"/>
    <col min="15620" max="15620" width="9.85546875" style="4" customWidth="1"/>
    <col min="15621" max="15621" width="14.140625" style="4" customWidth="1"/>
    <col min="15622" max="15622" width="15.28515625" style="4" customWidth="1"/>
    <col min="15623" max="15872" width="9.140625" style="4"/>
    <col min="15873" max="15873" width="6" style="4" customWidth="1"/>
    <col min="15874" max="15874" width="32.85546875" style="4" customWidth="1"/>
    <col min="15875" max="15875" width="4.85546875" style="4" customWidth="1"/>
    <col min="15876" max="15876" width="9.85546875" style="4" customWidth="1"/>
    <col min="15877" max="15877" width="14.140625" style="4" customWidth="1"/>
    <col min="15878" max="15878" width="15.28515625" style="4" customWidth="1"/>
    <col min="15879" max="16128" width="9.140625" style="4"/>
    <col min="16129" max="16129" width="6" style="4" customWidth="1"/>
    <col min="16130" max="16130" width="32.85546875" style="4" customWidth="1"/>
    <col min="16131" max="16131" width="4.85546875" style="4" customWidth="1"/>
    <col min="16132" max="16132" width="9.85546875" style="4" customWidth="1"/>
    <col min="16133" max="16133" width="14.140625" style="4" customWidth="1"/>
    <col min="16134" max="16134" width="15.28515625" style="4" customWidth="1"/>
    <col min="16135" max="16384" width="9.140625" style="4"/>
  </cols>
  <sheetData>
    <row r="1" spans="1:6">
      <c r="A1" s="236" t="s">
        <v>247</v>
      </c>
      <c r="B1" s="237" t="s">
        <v>248</v>
      </c>
      <c r="C1" s="237" t="s">
        <v>249</v>
      </c>
      <c r="D1" s="237" t="s">
        <v>250</v>
      </c>
      <c r="E1" s="237" t="s">
        <v>251</v>
      </c>
      <c r="F1" s="238" t="s">
        <v>252</v>
      </c>
    </row>
    <row r="2" spans="1:6">
      <c r="A2" s="239"/>
      <c r="B2" s="240"/>
      <c r="C2" s="240"/>
      <c r="D2" s="241"/>
    </row>
    <row r="3" spans="1:6">
      <c r="A3" s="244" t="s">
        <v>610</v>
      </c>
      <c r="B3" s="245"/>
      <c r="C3" s="245"/>
      <c r="D3" s="246"/>
      <c r="E3" s="245"/>
      <c r="F3" s="247"/>
    </row>
    <row r="4" spans="1:6">
      <c r="D4" s="241"/>
    </row>
    <row r="5" spans="1:6">
      <c r="A5" s="239">
        <v>1</v>
      </c>
      <c r="B5" s="240" t="s">
        <v>253</v>
      </c>
      <c r="C5" s="240" t="s">
        <v>254</v>
      </c>
      <c r="D5" s="241">
        <v>1</v>
      </c>
      <c r="E5" s="528"/>
      <c r="F5" s="476">
        <f>(D5*E5)</f>
        <v>0</v>
      </c>
    </row>
    <row r="6" spans="1:6">
      <c r="A6" s="239"/>
      <c r="B6" s="240"/>
      <c r="C6" s="240"/>
      <c r="D6" s="241"/>
      <c r="E6" s="475"/>
      <c r="F6" s="476"/>
    </row>
    <row r="7" spans="1:6">
      <c r="A7" s="239"/>
      <c r="B7" s="240"/>
      <c r="C7" s="240"/>
      <c r="D7" s="241"/>
      <c r="E7" s="475"/>
      <c r="F7" s="476"/>
    </row>
    <row r="8" spans="1:6">
      <c r="A8" s="239">
        <v>2</v>
      </c>
      <c r="B8" s="240" t="s">
        <v>255</v>
      </c>
      <c r="D8" s="241"/>
      <c r="E8" s="475"/>
      <c r="F8" s="476"/>
    </row>
    <row r="9" spans="1:6">
      <c r="A9" s="239"/>
      <c r="B9" s="240" t="s">
        <v>256</v>
      </c>
      <c r="D9" s="241"/>
      <c r="E9" s="475"/>
      <c r="F9" s="476"/>
    </row>
    <row r="10" spans="1:6">
      <c r="A10" s="239"/>
      <c r="B10" s="240" t="s">
        <v>257</v>
      </c>
      <c r="D10" s="241"/>
      <c r="E10" s="475"/>
      <c r="F10" s="476"/>
    </row>
    <row r="11" spans="1:6">
      <c r="A11" s="239"/>
      <c r="B11" s="240" t="s">
        <v>258</v>
      </c>
      <c r="E11" s="475"/>
      <c r="F11" s="476"/>
    </row>
    <row r="12" spans="1:6">
      <c r="A12" s="239"/>
      <c r="B12" s="240" t="s">
        <v>259</v>
      </c>
      <c r="E12" s="475"/>
      <c r="F12" s="476"/>
    </row>
    <row r="13" spans="1:6">
      <c r="B13" s="242" t="s">
        <v>260</v>
      </c>
      <c r="E13" s="475"/>
      <c r="F13" s="476"/>
    </row>
    <row r="14" spans="1:6">
      <c r="E14" s="475"/>
      <c r="F14" s="476"/>
    </row>
    <row r="15" spans="1:6">
      <c r="B15" s="242" t="s">
        <v>261</v>
      </c>
      <c r="C15" s="240" t="s">
        <v>262</v>
      </c>
      <c r="D15" s="241">
        <f>4.5*4.5*2</f>
        <v>40.5</v>
      </c>
      <c r="E15" s="528"/>
      <c r="F15" s="476">
        <f>(D15*E15)</f>
        <v>0</v>
      </c>
    </row>
    <row r="16" spans="1:6">
      <c r="C16" s="240"/>
      <c r="D16" s="241"/>
      <c r="E16" s="475"/>
      <c r="F16" s="476"/>
    </row>
    <row r="17" spans="1:6">
      <c r="B17" s="242" t="s">
        <v>263</v>
      </c>
      <c r="C17" s="240" t="s">
        <v>262</v>
      </c>
      <c r="D17" s="241">
        <f>4.5*4.5*1.6</f>
        <v>32.4</v>
      </c>
      <c r="E17" s="528"/>
      <c r="F17" s="476">
        <f>(D17*E17)</f>
        <v>0</v>
      </c>
    </row>
    <row r="18" spans="1:6">
      <c r="C18" s="240"/>
      <c r="D18" s="241"/>
      <c r="E18" s="475"/>
      <c r="F18" s="476"/>
    </row>
    <row r="19" spans="1:6">
      <c r="E19" s="475"/>
      <c r="F19" s="476"/>
    </row>
    <row r="20" spans="1:6">
      <c r="A20" s="239">
        <v>3</v>
      </c>
      <c r="B20" s="240" t="s">
        <v>264</v>
      </c>
      <c r="C20" s="240"/>
      <c r="D20" s="241"/>
      <c r="E20" s="475"/>
      <c r="F20" s="476"/>
    </row>
    <row r="21" spans="1:6">
      <c r="A21" s="239"/>
      <c r="B21" s="240" t="s">
        <v>265</v>
      </c>
      <c r="E21" s="475"/>
      <c r="F21" s="476"/>
    </row>
    <row r="22" spans="1:6">
      <c r="B22" s="242" t="s">
        <v>382</v>
      </c>
      <c r="C22" s="240" t="s">
        <v>262</v>
      </c>
      <c r="D22" s="241">
        <f>(D15+D17)*1.25</f>
        <v>91.125</v>
      </c>
      <c r="E22" s="528"/>
      <c r="F22" s="476">
        <f>(D22*E22)</f>
        <v>0</v>
      </c>
    </row>
    <row r="23" spans="1:6">
      <c r="C23" s="240"/>
      <c r="D23" s="241"/>
      <c r="E23" s="475"/>
      <c r="F23" s="476"/>
    </row>
    <row r="24" spans="1:6">
      <c r="E24" s="475"/>
      <c r="F24" s="476"/>
    </row>
    <row r="25" spans="1:6">
      <c r="A25" s="239">
        <v>4</v>
      </c>
      <c r="B25" s="240" t="s">
        <v>266</v>
      </c>
      <c r="E25" s="475"/>
      <c r="F25" s="476"/>
    </row>
    <row r="26" spans="1:6">
      <c r="A26" s="239"/>
      <c r="B26" s="240" t="s">
        <v>267</v>
      </c>
      <c r="E26" s="475"/>
      <c r="F26" s="476"/>
    </row>
    <row r="27" spans="1:6">
      <c r="B27" s="242" t="s">
        <v>268</v>
      </c>
      <c r="C27" s="240" t="s">
        <v>269</v>
      </c>
      <c r="D27" s="241">
        <f>4.5*4*4</f>
        <v>72</v>
      </c>
      <c r="E27" s="528"/>
      <c r="F27" s="476">
        <f t="shared" ref="F27" si="0">(D27*E27)</f>
        <v>0</v>
      </c>
    </row>
    <row r="28" spans="1:6">
      <c r="E28" s="475"/>
      <c r="F28" s="476"/>
    </row>
    <row r="29" spans="1:6">
      <c r="E29" s="475"/>
      <c r="F29" s="476"/>
    </row>
    <row r="30" spans="1:6">
      <c r="A30" s="239">
        <v>5</v>
      </c>
      <c r="B30" s="240" t="s">
        <v>270</v>
      </c>
      <c r="E30" s="475"/>
      <c r="F30" s="476"/>
    </row>
    <row r="31" spans="1:6">
      <c r="A31" s="239"/>
      <c r="B31" s="240" t="s">
        <v>271</v>
      </c>
      <c r="C31" s="240" t="s">
        <v>269</v>
      </c>
      <c r="D31" s="241">
        <f>4.5*4.5</f>
        <v>20.25</v>
      </c>
      <c r="E31" s="528"/>
      <c r="F31" s="476">
        <f>(D31*E31)</f>
        <v>0</v>
      </c>
    </row>
    <row r="32" spans="1:6">
      <c r="A32" s="239"/>
      <c r="B32" s="240"/>
      <c r="C32" s="240"/>
      <c r="D32" s="241"/>
      <c r="E32" s="475"/>
      <c r="F32" s="476"/>
    </row>
    <row r="33" spans="1:6">
      <c r="A33" s="239"/>
      <c r="B33" s="240"/>
      <c r="C33" s="240"/>
      <c r="D33" s="241"/>
      <c r="E33" s="475"/>
      <c r="F33" s="476"/>
    </row>
    <row r="34" spans="1:6">
      <c r="A34" s="239">
        <v>6</v>
      </c>
      <c r="B34" s="240" t="s">
        <v>272</v>
      </c>
      <c r="E34" s="475"/>
      <c r="F34" s="476"/>
    </row>
    <row r="35" spans="1:6">
      <c r="A35" s="239"/>
      <c r="B35" s="240" t="s">
        <v>273</v>
      </c>
      <c r="C35" s="240" t="s">
        <v>269</v>
      </c>
      <c r="D35" s="241">
        <f>4.5*4.5*0.15</f>
        <v>3.0375000000000001</v>
      </c>
      <c r="E35" s="528"/>
      <c r="F35" s="476">
        <f>(D35*E35)</f>
        <v>0</v>
      </c>
    </row>
    <row r="36" spans="1:6">
      <c r="A36" s="239"/>
      <c r="B36" s="240"/>
      <c r="C36" s="240"/>
      <c r="D36" s="241"/>
      <c r="E36" s="475"/>
      <c r="F36" s="476"/>
    </row>
    <row r="37" spans="1:6">
      <c r="A37" s="239"/>
      <c r="B37" s="240"/>
      <c r="C37" s="240"/>
      <c r="D37" s="241"/>
      <c r="E37" s="475"/>
      <c r="F37" s="476"/>
    </row>
    <row r="38" spans="1:6">
      <c r="A38" s="239">
        <v>7</v>
      </c>
      <c r="B38" s="240" t="s">
        <v>274</v>
      </c>
      <c r="C38" s="240"/>
      <c r="D38" s="241"/>
      <c r="E38" s="475"/>
      <c r="F38" s="476"/>
    </row>
    <row r="39" spans="1:6">
      <c r="A39" s="239"/>
      <c r="B39" s="240" t="s">
        <v>275</v>
      </c>
      <c r="C39" s="240"/>
      <c r="D39" s="241"/>
      <c r="E39" s="475"/>
      <c r="F39" s="476"/>
    </row>
    <row r="40" spans="1:6">
      <c r="A40" s="239"/>
      <c r="B40" s="240" t="s">
        <v>276</v>
      </c>
      <c r="C40" s="240"/>
      <c r="D40" s="241"/>
      <c r="E40" s="475"/>
      <c r="F40" s="476"/>
    </row>
    <row r="41" spans="1:6">
      <c r="A41" s="239"/>
      <c r="B41" s="249" t="s">
        <v>383</v>
      </c>
      <c r="C41" s="240"/>
      <c r="D41" s="241"/>
      <c r="E41" s="475"/>
      <c r="F41" s="476"/>
    </row>
    <row r="42" spans="1:6">
      <c r="A42" s="239"/>
      <c r="B42" s="240"/>
      <c r="C42" s="240"/>
      <c r="D42" s="241"/>
      <c r="E42" s="475"/>
      <c r="F42" s="476"/>
    </row>
    <row r="43" spans="1:6">
      <c r="A43" s="239"/>
      <c r="B43" s="250" t="s">
        <v>277</v>
      </c>
      <c r="C43" s="240"/>
      <c r="D43" s="241"/>
      <c r="E43" s="475"/>
      <c r="F43" s="476"/>
    </row>
    <row r="44" spans="1:6">
      <c r="A44" s="239"/>
      <c r="B44" s="251" t="s">
        <v>278</v>
      </c>
      <c r="C44" s="240"/>
      <c r="D44" s="241"/>
      <c r="E44" s="475"/>
      <c r="F44" s="476"/>
    </row>
    <row r="45" spans="1:6">
      <c r="A45" s="239"/>
      <c r="B45" s="240" t="s">
        <v>279</v>
      </c>
      <c r="C45" s="240"/>
      <c r="D45" s="241"/>
      <c r="E45" s="475"/>
      <c r="F45" s="476"/>
    </row>
    <row r="46" spans="1:6">
      <c r="A46" s="239"/>
      <c r="B46" s="240" t="s">
        <v>280</v>
      </c>
      <c r="C46" s="240"/>
      <c r="D46" s="241"/>
      <c r="E46" s="475"/>
      <c r="F46" s="476"/>
    </row>
    <row r="47" spans="1:6">
      <c r="A47" s="239"/>
      <c r="B47" s="240" t="s">
        <v>281</v>
      </c>
      <c r="C47" s="240"/>
      <c r="D47" s="241"/>
      <c r="E47" s="475"/>
      <c r="F47" s="476"/>
    </row>
    <row r="48" spans="1:6">
      <c r="A48" s="239"/>
      <c r="B48" s="240" t="s">
        <v>282</v>
      </c>
      <c r="C48" s="240"/>
      <c r="D48" s="241"/>
      <c r="E48" s="475"/>
      <c r="F48" s="476"/>
    </row>
    <row r="49" spans="1:6">
      <c r="A49" s="239"/>
      <c r="B49" s="240" t="s">
        <v>283</v>
      </c>
      <c r="C49" s="240"/>
      <c r="D49" s="241"/>
      <c r="E49" s="475"/>
      <c r="F49" s="476"/>
    </row>
    <row r="50" spans="1:6">
      <c r="A50" s="239"/>
      <c r="B50" s="240" t="s">
        <v>284</v>
      </c>
      <c r="E50" s="475"/>
      <c r="F50" s="476"/>
    </row>
    <row r="51" spans="1:6">
      <c r="A51" s="239"/>
      <c r="B51" s="240" t="s">
        <v>285</v>
      </c>
      <c r="E51" s="475"/>
      <c r="F51" s="476"/>
    </row>
    <row r="52" spans="1:6">
      <c r="A52" s="239"/>
      <c r="B52" s="242" t="s">
        <v>286</v>
      </c>
      <c r="C52" s="240" t="s">
        <v>287</v>
      </c>
      <c r="D52" s="241">
        <v>1</v>
      </c>
      <c r="E52" s="528"/>
      <c r="F52" s="476">
        <f>(D52*E52)</f>
        <v>0</v>
      </c>
    </row>
    <row r="53" spans="1:6">
      <c r="A53" s="239"/>
      <c r="E53" s="475"/>
      <c r="F53" s="476"/>
    </row>
    <row r="54" spans="1:6">
      <c r="A54" s="239"/>
      <c r="B54" s="250" t="s">
        <v>288</v>
      </c>
      <c r="C54" s="240"/>
      <c r="D54" s="241"/>
      <c r="E54" s="475"/>
      <c r="F54" s="476"/>
    </row>
    <row r="55" spans="1:6">
      <c r="A55" s="239"/>
      <c r="B55" s="240" t="s">
        <v>289</v>
      </c>
      <c r="C55" s="240"/>
      <c r="D55" s="241"/>
      <c r="E55" s="475"/>
      <c r="F55" s="476"/>
    </row>
    <row r="56" spans="1:6">
      <c r="A56" s="239"/>
      <c r="B56" s="240" t="s">
        <v>290</v>
      </c>
      <c r="E56" s="475"/>
      <c r="F56" s="476"/>
    </row>
    <row r="57" spans="1:6">
      <c r="A57" s="239"/>
      <c r="B57" s="240" t="s">
        <v>628</v>
      </c>
      <c r="E57" s="475"/>
      <c r="F57" s="476"/>
    </row>
    <row r="58" spans="1:6">
      <c r="A58" s="239"/>
      <c r="B58" s="240" t="s">
        <v>291</v>
      </c>
      <c r="E58" s="475"/>
      <c r="F58" s="476"/>
    </row>
    <row r="59" spans="1:6">
      <c r="A59" s="239"/>
      <c r="B59" s="240" t="s">
        <v>629</v>
      </c>
      <c r="E59" s="475"/>
      <c r="F59" s="476"/>
    </row>
    <row r="60" spans="1:6">
      <c r="A60" s="239"/>
      <c r="B60" s="252" t="s">
        <v>292</v>
      </c>
      <c r="C60" s="240"/>
      <c r="D60" s="241"/>
      <c r="E60" s="475"/>
      <c r="F60" s="476"/>
    </row>
    <row r="61" spans="1:6">
      <c r="A61" s="239"/>
      <c r="B61" s="252" t="s">
        <v>293</v>
      </c>
      <c r="C61" s="240" t="s">
        <v>287</v>
      </c>
      <c r="D61" s="241">
        <v>1</v>
      </c>
      <c r="E61" s="528"/>
      <c r="F61" s="476">
        <f>(D61*E61)</f>
        <v>0</v>
      </c>
    </row>
    <row r="62" spans="1:6">
      <c r="A62" s="239"/>
      <c r="B62" s="240"/>
      <c r="C62" s="240"/>
      <c r="D62" s="241"/>
      <c r="E62" s="475"/>
      <c r="F62" s="476"/>
    </row>
    <row r="63" spans="1:6">
      <c r="A63" s="239"/>
      <c r="B63" s="250" t="s">
        <v>294</v>
      </c>
      <c r="C63" s="240"/>
      <c r="D63" s="241"/>
      <c r="E63" s="475"/>
      <c r="F63" s="476"/>
    </row>
    <row r="64" spans="1:6">
      <c r="A64" s="239"/>
      <c r="B64" s="240" t="s">
        <v>384</v>
      </c>
      <c r="C64" s="240"/>
      <c r="D64" s="241"/>
      <c r="E64" s="475"/>
      <c r="F64" s="476"/>
    </row>
    <row r="65" spans="1:6">
      <c r="A65" s="239"/>
      <c r="B65" s="240" t="s">
        <v>385</v>
      </c>
      <c r="C65" s="240" t="s">
        <v>287</v>
      </c>
      <c r="D65" s="241">
        <v>1</v>
      </c>
      <c r="E65" s="528"/>
      <c r="F65" s="476">
        <f>(D65*E65)</f>
        <v>0</v>
      </c>
    </row>
    <row r="66" spans="1:6">
      <c r="A66" s="239"/>
      <c r="B66" s="240"/>
      <c r="C66" s="240"/>
      <c r="D66" s="241"/>
      <c r="E66" s="475"/>
      <c r="F66" s="476"/>
    </row>
    <row r="67" spans="1:6">
      <c r="A67" s="239"/>
      <c r="B67" s="250" t="s">
        <v>295</v>
      </c>
      <c r="C67" s="240"/>
      <c r="D67" s="241"/>
      <c r="E67" s="475"/>
      <c r="F67" s="476"/>
    </row>
    <row r="68" spans="1:6">
      <c r="A68" s="239"/>
      <c r="B68" s="240" t="s">
        <v>296</v>
      </c>
      <c r="C68" s="240"/>
      <c r="D68" s="241"/>
      <c r="E68" s="475"/>
      <c r="F68" s="476"/>
    </row>
    <row r="69" spans="1:6">
      <c r="A69" s="239"/>
      <c r="B69" s="240" t="s">
        <v>297</v>
      </c>
      <c r="C69" s="240" t="s">
        <v>287</v>
      </c>
      <c r="D69" s="241">
        <v>1</v>
      </c>
      <c r="E69" s="528"/>
      <c r="F69" s="476">
        <f>(D69*E69)</f>
        <v>0</v>
      </c>
    </row>
    <row r="70" spans="1:6">
      <c r="A70" s="239"/>
      <c r="B70" s="240"/>
      <c r="C70" s="240"/>
      <c r="D70" s="241"/>
      <c r="E70" s="475"/>
      <c r="F70" s="476"/>
    </row>
    <row r="71" spans="1:6">
      <c r="A71" s="239"/>
      <c r="B71" s="250" t="s">
        <v>298</v>
      </c>
      <c r="C71" s="240"/>
      <c r="D71" s="241"/>
      <c r="E71" s="475"/>
      <c r="F71" s="476"/>
    </row>
    <row r="72" spans="1:6">
      <c r="A72" s="239"/>
      <c r="B72" s="240" t="s">
        <v>299</v>
      </c>
      <c r="C72" s="240"/>
      <c r="D72" s="241"/>
      <c r="E72" s="475"/>
      <c r="F72" s="476"/>
    </row>
    <row r="73" spans="1:6">
      <c r="A73" s="239"/>
      <c r="B73" s="240" t="s">
        <v>300</v>
      </c>
      <c r="C73" s="240"/>
      <c r="D73" s="241"/>
      <c r="E73" s="475"/>
      <c r="F73" s="476"/>
    </row>
    <row r="74" spans="1:6">
      <c r="A74" s="239"/>
      <c r="B74" s="240"/>
      <c r="C74" s="240"/>
      <c r="D74" s="241"/>
      <c r="E74" s="475"/>
      <c r="F74" s="476"/>
    </row>
    <row r="75" spans="1:6">
      <c r="A75" s="239"/>
      <c r="B75" s="240" t="s">
        <v>301</v>
      </c>
      <c r="C75" s="240" t="s">
        <v>287</v>
      </c>
      <c r="D75" s="241">
        <v>1</v>
      </c>
      <c r="E75" s="528"/>
      <c r="F75" s="476">
        <f>(D75*E75)</f>
        <v>0</v>
      </c>
    </row>
    <row r="76" spans="1:6">
      <c r="A76" s="239"/>
      <c r="B76" s="240"/>
      <c r="C76" s="240"/>
      <c r="D76" s="241"/>
      <c r="E76" s="475"/>
      <c r="F76" s="476"/>
    </row>
    <row r="77" spans="1:6">
      <c r="A77" s="239"/>
      <c r="B77" s="240" t="s">
        <v>302</v>
      </c>
      <c r="C77" s="240" t="s">
        <v>287</v>
      </c>
      <c r="D77" s="241">
        <v>1</v>
      </c>
      <c r="E77" s="528"/>
      <c r="F77" s="476">
        <f>(D77*E77)</f>
        <v>0</v>
      </c>
    </row>
    <row r="78" spans="1:6">
      <c r="A78" s="239"/>
      <c r="B78" s="240"/>
      <c r="C78" s="240"/>
      <c r="D78" s="241"/>
      <c r="E78" s="475"/>
      <c r="F78" s="476"/>
    </row>
    <row r="79" spans="1:6" ht="330.75">
      <c r="A79" s="253">
        <v>8</v>
      </c>
      <c r="B79" s="471" t="s">
        <v>636</v>
      </c>
      <c r="C79" s="473" t="s">
        <v>287</v>
      </c>
      <c r="D79" s="474">
        <v>2</v>
      </c>
      <c r="E79" s="529"/>
      <c r="F79" s="477"/>
    </row>
    <row r="80" spans="1:6">
      <c r="A80" s="239"/>
      <c r="B80" s="240"/>
      <c r="C80" s="240"/>
      <c r="D80" s="241"/>
      <c r="E80" s="475"/>
      <c r="F80" s="477"/>
    </row>
    <row r="81" spans="1:6">
      <c r="A81" s="239"/>
      <c r="B81" s="240" t="s">
        <v>303</v>
      </c>
      <c r="E81" s="475"/>
      <c r="F81" s="477"/>
    </row>
    <row r="82" spans="1:6">
      <c r="A82" s="239"/>
      <c r="B82" s="240" t="s">
        <v>304</v>
      </c>
      <c r="C82" s="240" t="s">
        <v>287</v>
      </c>
      <c r="D82" s="241">
        <v>2</v>
      </c>
      <c r="E82" s="528"/>
      <c r="F82" s="477"/>
    </row>
    <row r="83" spans="1:6">
      <c r="A83" s="239"/>
      <c r="B83" s="240"/>
      <c r="C83" s="240"/>
      <c r="D83" s="241"/>
      <c r="E83" s="475"/>
      <c r="F83" s="477"/>
    </row>
    <row r="84" spans="1:6">
      <c r="A84" s="239"/>
      <c r="B84" s="240" t="s">
        <v>305</v>
      </c>
      <c r="C84" s="240" t="s">
        <v>306</v>
      </c>
      <c r="D84" s="241">
        <v>2</v>
      </c>
      <c r="E84" s="528"/>
      <c r="F84" s="477"/>
    </row>
    <row r="85" spans="1:6">
      <c r="A85" s="239"/>
      <c r="B85" s="240"/>
      <c r="C85" s="240"/>
      <c r="D85" s="241"/>
      <c r="E85" s="475"/>
      <c r="F85" s="477"/>
    </row>
    <row r="86" spans="1:6">
      <c r="A86" s="239"/>
      <c r="B86" s="240" t="s">
        <v>386</v>
      </c>
      <c r="C86" s="240" t="s">
        <v>287</v>
      </c>
      <c r="D86" s="241">
        <v>2</v>
      </c>
      <c r="E86" s="528"/>
      <c r="F86" s="477"/>
    </row>
    <row r="87" spans="1:6">
      <c r="A87" s="239"/>
      <c r="B87" s="240"/>
      <c r="C87" s="240"/>
      <c r="D87" s="241"/>
      <c r="E87" s="475"/>
      <c r="F87" s="477"/>
    </row>
    <row r="88" spans="1:6" ht="31.5">
      <c r="A88" s="239"/>
      <c r="B88" s="257" t="s">
        <v>307</v>
      </c>
      <c r="C88" s="248" t="s">
        <v>287</v>
      </c>
      <c r="D88" s="256">
        <v>2</v>
      </c>
      <c r="E88" s="528"/>
      <c r="F88" s="477"/>
    </row>
    <row r="89" spans="1:6">
      <c r="A89" s="239"/>
      <c r="B89" s="240"/>
      <c r="C89" s="240"/>
      <c r="D89" s="241"/>
      <c r="E89" s="475"/>
      <c r="F89" s="477"/>
    </row>
    <row r="90" spans="1:6" ht="31.5">
      <c r="A90" s="239"/>
      <c r="B90" s="257" t="s">
        <v>308</v>
      </c>
      <c r="C90" s="248" t="s">
        <v>287</v>
      </c>
      <c r="D90" s="256">
        <v>2</v>
      </c>
      <c r="E90" s="528"/>
      <c r="F90" s="477"/>
    </row>
    <row r="91" spans="1:6">
      <c r="A91" s="239"/>
      <c r="B91" s="240"/>
      <c r="C91" s="240"/>
      <c r="D91" s="241"/>
      <c r="E91" s="475"/>
      <c r="F91" s="477"/>
    </row>
    <row r="92" spans="1:6" ht="31.5">
      <c r="A92" s="239"/>
      <c r="B92" s="254" t="s">
        <v>309</v>
      </c>
      <c r="C92" s="248" t="s">
        <v>287</v>
      </c>
      <c r="D92" s="256">
        <v>2</v>
      </c>
      <c r="E92" s="528"/>
      <c r="F92" s="477"/>
    </row>
    <row r="93" spans="1:6">
      <c r="A93" s="239"/>
      <c r="B93" s="254"/>
      <c r="C93" s="248"/>
      <c r="D93" s="256"/>
      <c r="E93" s="475"/>
      <c r="F93" s="477"/>
    </row>
    <row r="94" spans="1:6" ht="31.5">
      <c r="A94" s="239"/>
      <c r="B94" s="254" t="s">
        <v>310</v>
      </c>
      <c r="C94" s="248" t="s">
        <v>287</v>
      </c>
      <c r="D94" s="256">
        <v>2</v>
      </c>
      <c r="E94" s="528"/>
      <c r="F94" s="477"/>
    </row>
    <row r="95" spans="1:6">
      <c r="A95" s="239"/>
      <c r="B95" s="240"/>
      <c r="E95" s="475"/>
      <c r="F95" s="477"/>
    </row>
    <row r="96" spans="1:6" ht="31.5">
      <c r="A96" s="239"/>
      <c r="B96" s="254" t="s">
        <v>311</v>
      </c>
      <c r="C96" s="248" t="s">
        <v>287</v>
      </c>
      <c r="D96" s="256">
        <v>2</v>
      </c>
      <c r="E96" s="528"/>
      <c r="F96" s="477"/>
    </row>
    <row r="97" spans="1:6">
      <c r="A97" s="239"/>
      <c r="B97" s="240"/>
      <c r="E97" s="475"/>
      <c r="F97" s="477"/>
    </row>
    <row r="98" spans="1:6" ht="31.5">
      <c r="A98" s="239"/>
      <c r="B98" s="254" t="s">
        <v>312</v>
      </c>
      <c r="C98" s="248" t="s">
        <v>287</v>
      </c>
      <c r="D98" s="256">
        <v>2</v>
      </c>
      <c r="E98" s="528"/>
      <c r="F98" s="477"/>
    </row>
    <row r="99" spans="1:6">
      <c r="A99" s="239"/>
      <c r="B99" s="240"/>
      <c r="E99" s="475"/>
      <c r="F99" s="477"/>
    </row>
    <row r="100" spans="1:6" ht="31.5">
      <c r="A100" s="239"/>
      <c r="B100" s="254" t="s">
        <v>313</v>
      </c>
      <c r="C100" s="248" t="s">
        <v>287</v>
      </c>
      <c r="D100" s="256">
        <v>2</v>
      </c>
      <c r="E100" s="528"/>
      <c r="F100" s="477"/>
    </row>
    <row r="101" spans="1:6">
      <c r="A101" s="239"/>
      <c r="B101" s="240"/>
      <c r="C101" s="4"/>
      <c r="D101" s="4"/>
      <c r="E101" s="475"/>
      <c r="F101" s="477"/>
    </row>
    <row r="102" spans="1:6" ht="31.5">
      <c r="A102" s="239"/>
      <c r="B102" s="288" t="s">
        <v>314</v>
      </c>
      <c r="C102" s="289" t="s">
        <v>287</v>
      </c>
      <c r="D102" s="290">
        <v>2</v>
      </c>
      <c r="E102" s="528"/>
      <c r="F102" s="477"/>
    </row>
    <row r="103" spans="1:6">
      <c r="A103" s="239"/>
      <c r="B103" s="240"/>
      <c r="C103" s="240"/>
      <c r="D103" s="241"/>
      <c r="E103" s="475"/>
      <c r="F103" s="477"/>
    </row>
    <row r="104" spans="1:6">
      <c r="A104" s="239"/>
      <c r="B104" s="255" t="s">
        <v>315</v>
      </c>
      <c r="C104" s="255" t="s">
        <v>254</v>
      </c>
      <c r="D104" s="241">
        <v>1</v>
      </c>
      <c r="E104" s="528"/>
      <c r="F104" s="486">
        <f>D104*E104</f>
        <v>0</v>
      </c>
    </row>
    <row r="105" spans="1:6">
      <c r="A105" s="239"/>
      <c r="B105" s="240"/>
      <c r="C105" s="240"/>
      <c r="D105" s="241"/>
      <c r="E105" s="475"/>
      <c r="F105" s="476"/>
    </row>
    <row r="106" spans="1:6" ht="110.25">
      <c r="A106" s="239" t="s">
        <v>624</v>
      </c>
      <c r="B106" s="472" t="s">
        <v>625</v>
      </c>
      <c r="C106" s="240" t="s">
        <v>287</v>
      </c>
      <c r="D106" s="241">
        <v>2</v>
      </c>
      <c r="E106" s="528"/>
      <c r="F106" s="476">
        <f>(D106*E106)</f>
        <v>0</v>
      </c>
    </row>
    <row r="107" spans="1:6">
      <c r="A107" s="239"/>
      <c r="B107" s="240"/>
      <c r="C107" s="240"/>
      <c r="D107" s="241"/>
      <c r="E107" s="475"/>
      <c r="F107" s="476"/>
    </row>
    <row r="108" spans="1:6">
      <c r="A108" s="239">
        <v>9</v>
      </c>
      <c r="B108" s="240" t="s">
        <v>316</v>
      </c>
      <c r="C108" s="240"/>
      <c r="D108" s="241"/>
      <c r="E108" s="475"/>
      <c r="F108" s="476"/>
    </row>
    <row r="109" spans="1:6">
      <c r="A109" s="239"/>
      <c r="B109" s="240" t="s">
        <v>317</v>
      </c>
      <c r="C109" s="240"/>
      <c r="D109" s="241"/>
      <c r="E109" s="475"/>
      <c r="F109" s="476"/>
    </row>
    <row r="110" spans="1:6">
      <c r="A110" s="239"/>
      <c r="B110" s="240"/>
      <c r="E110" s="475"/>
      <c r="F110" s="476"/>
    </row>
    <row r="111" spans="1:6">
      <c r="A111" s="239"/>
      <c r="B111" s="240" t="s">
        <v>318</v>
      </c>
      <c r="C111" s="240" t="s">
        <v>287</v>
      </c>
      <c r="D111" s="241">
        <v>1</v>
      </c>
      <c r="E111" s="528"/>
      <c r="F111" s="476">
        <f>(D111*E111)</f>
        <v>0</v>
      </c>
    </row>
    <row r="112" spans="1:6">
      <c r="A112" s="239"/>
      <c r="B112" s="240"/>
      <c r="C112" s="240"/>
      <c r="D112" s="241"/>
      <c r="E112" s="481"/>
      <c r="F112" s="476"/>
    </row>
    <row r="113" spans="1:6">
      <c r="A113" s="239"/>
      <c r="B113" s="240" t="s">
        <v>319</v>
      </c>
      <c r="E113" s="481"/>
      <c r="F113" s="476"/>
    </row>
    <row r="114" spans="1:6">
      <c r="A114" s="239"/>
      <c r="B114" s="240" t="s">
        <v>320</v>
      </c>
      <c r="C114" s="240" t="s">
        <v>287</v>
      </c>
      <c r="D114" s="241">
        <v>1</v>
      </c>
      <c r="E114" s="528"/>
      <c r="F114" s="476">
        <f>(D114*E114)</f>
        <v>0</v>
      </c>
    </row>
    <row r="115" spans="1:6">
      <c r="A115" s="239"/>
      <c r="B115" s="240"/>
      <c r="C115" s="240"/>
      <c r="D115" s="241"/>
      <c r="E115" s="475"/>
      <c r="F115" s="476"/>
    </row>
    <row r="116" spans="1:6">
      <c r="A116" s="239"/>
      <c r="B116" s="240"/>
      <c r="C116" s="240"/>
      <c r="D116" s="241"/>
      <c r="E116" s="475"/>
      <c r="F116" s="476"/>
    </row>
    <row r="117" spans="1:6">
      <c r="A117" s="239">
        <v>10</v>
      </c>
      <c r="B117" s="240" t="s">
        <v>321</v>
      </c>
      <c r="C117" s="240"/>
      <c r="D117" s="241"/>
      <c r="E117" s="475"/>
      <c r="F117" s="476"/>
    </row>
    <row r="118" spans="1:6">
      <c r="A118" s="239"/>
      <c r="B118" s="240" t="s">
        <v>322</v>
      </c>
      <c r="C118" s="240"/>
      <c r="D118" s="241"/>
      <c r="E118" s="475"/>
      <c r="F118" s="476"/>
    </row>
    <row r="119" spans="1:6">
      <c r="A119" s="239"/>
      <c r="B119" s="240" t="s">
        <v>323</v>
      </c>
      <c r="C119" s="240"/>
      <c r="D119" s="241"/>
      <c r="E119" s="475"/>
      <c r="F119" s="476"/>
    </row>
    <row r="120" spans="1:6">
      <c r="A120" s="239"/>
      <c r="B120" s="240" t="s">
        <v>324</v>
      </c>
      <c r="C120" s="240"/>
      <c r="D120" s="241"/>
      <c r="E120" s="475"/>
      <c r="F120" s="476"/>
    </row>
    <row r="121" spans="1:6">
      <c r="A121" s="239"/>
      <c r="B121" s="240"/>
      <c r="C121" s="240"/>
      <c r="D121" s="241"/>
      <c r="E121" s="475"/>
      <c r="F121" s="476"/>
    </row>
    <row r="122" spans="1:6">
      <c r="A122" s="239"/>
      <c r="B122" s="240" t="s">
        <v>387</v>
      </c>
      <c r="C122" s="240" t="s">
        <v>287</v>
      </c>
      <c r="D122" s="241">
        <v>1</v>
      </c>
      <c r="E122" s="528"/>
      <c r="F122" s="476">
        <f>(D122*E122)</f>
        <v>0</v>
      </c>
    </row>
    <row r="123" spans="1:6">
      <c r="A123" s="239"/>
      <c r="B123" s="240"/>
      <c r="C123" s="240"/>
      <c r="D123" s="241"/>
      <c r="E123" s="475"/>
      <c r="F123" s="476"/>
    </row>
    <row r="124" spans="1:6">
      <c r="A124" s="239"/>
      <c r="B124" s="240" t="s">
        <v>388</v>
      </c>
      <c r="C124" s="240" t="s">
        <v>287</v>
      </c>
      <c r="D124" s="241">
        <v>2</v>
      </c>
      <c r="E124" s="528"/>
      <c r="F124" s="476">
        <f>(D124*E124)</f>
        <v>0</v>
      </c>
    </row>
    <row r="125" spans="1:6">
      <c r="A125" s="239"/>
      <c r="B125" s="240"/>
      <c r="C125" s="240"/>
      <c r="D125" s="241"/>
      <c r="E125" s="475"/>
      <c r="F125" s="476"/>
    </row>
    <row r="126" spans="1:6">
      <c r="A126" s="239"/>
      <c r="B126" s="240" t="s">
        <v>325</v>
      </c>
      <c r="E126" s="475"/>
      <c r="F126" s="476"/>
    </row>
    <row r="127" spans="1:6">
      <c r="A127" s="239"/>
      <c r="B127" s="240" t="s">
        <v>326</v>
      </c>
      <c r="C127" s="240" t="s">
        <v>287</v>
      </c>
      <c r="D127" s="241">
        <v>1</v>
      </c>
      <c r="E127" s="528"/>
      <c r="F127" s="476">
        <f>(D127*E127)</f>
        <v>0</v>
      </c>
    </row>
    <row r="128" spans="1:6">
      <c r="A128" s="258"/>
      <c r="B128" s="259"/>
      <c r="C128" s="259"/>
      <c r="D128" s="260"/>
      <c r="E128" s="475"/>
      <c r="F128" s="476"/>
    </row>
    <row r="129" spans="1:6">
      <c r="A129" s="239"/>
      <c r="B129" s="240"/>
      <c r="C129" s="240"/>
      <c r="D129" s="241"/>
      <c r="E129" s="475"/>
      <c r="F129" s="476"/>
    </row>
    <row r="130" spans="1:6">
      <c r="A130" s="239">
        <v>11</v>
      </c>
      <c r="B130" s="240" t="s">
        <v>327</v>
      </c>
      <c r="C130" s="240"/>
      <c r="D130" s="241"/>
      <c r="E130" s="475"/>
      <c r="F130" s="476"/>
    </row>
    <row r="131" spans="1:6">
      <c r="A131" s="239"/>
      <c r="B131" s="240" t="s">
        <v>328</v>
      </c>
      <c r="C131" s="240"/>
      <c r="D131" s="241"/>
      <c r="E131" s="475"/>
      <c r="F131" s="476"/>
    </row>
    <row r="132" spans="1:6">
      <c r="A132" s="239"/>
      <c r="B132" s="240" t="s">
        <v>329</v>
      </c>
      <c r="E132" s="475"/>
      <c r="F132" s="476"/>
    </row>
    <row r="133" spans="1:6">
      <c r="A133" s="239"/>
      <c r="B133" s="240" t="s">
        <v>330</v>
      </c>
      <c r="E133" s="475"/>
      <c r="F133" s="476"/>
    </row>
    <row r="134" spans="1:6">
      <c r="A134" s="239"/>
      <c r="B134" s="240" t="s">
        <v>331</v>
      </c>
      <c r="E134" s="475"/>
      <c r="F134" s="476"/>
    </row>
    <row r="135" spans="1:6">
      <c r="A135" s="239"/>
      <c r="B135" s="240" t="s">
        <v>332</v>
      </c>
      <c r="C135" s="240"/>
      <c r="D135" s="241"/>
      <c r="E135" s="475"/>
      <c r="F135" s="476"/>
    </row>
    <row r="136" spans="1:6">
      <c r="A136" s="239"/>
      <c r="B136" s="240" t="s">
        <v>333</v>
      </c>
      <c r="C136" s="240" t="s">
        <v>287</v>
      </c>
      <c r="D136" s="241">
        <v>1</v>
      </c>
      <c r="E136" s="528"/>
      <c r="F136" s="476">
        <f>(D136*E136)</f>
        <v>0</v>
      </c>
    </row>
    <row r="137" spans="1:6">
      <c r="A137" s="239"/>
      <c r="B137" s="240"/>
      <c r="E137" s="475"/>
      <c r="F137" s="476"/>
    </row>
    <row r="138" spans="1:6">
      <c r="A138" s="239"/>
      <c r="B138" s="240"/>
      <c r="C138" s="240"/>
      <c r="D138" s="241"/>
      <c r="E138" s="475"/>
      <c r="F138" s="476"/>
    </row>
    <row r="139" spans="1:6">
      <c r="A139" s="239">
        <v>12</v>
      </c>
      <c r="B139" s="240" t="s">
        <v>334</v>
      </c>
      <c r="E139" s="475"/>
      <c r="F139" s="476"/>
    </row>
    <row r="140" spans="1:6">
      <c r="B140" s="240" t="s">
        <v>335</v>
      </c>
      <c r="E140" s="475"/>
      <c r="F140" s="476"/>
    </row>
    <row r="141" spans="1:6">
      <c r="A141" s="239"/>
      <c r="B141" s="240" t="s">
        <v>336</v>
      </c>
      <c r="C141" s="240" t="s">
        <v>262</v>
      </c>
      <c r="D141" s="241">
        <f>(D15+D17)-16</f>
        <v>56.900000000000006</v>
      </c>
      <c r="E141" s="528"/>
      <c r="F141" s="476">
        <f>(D141*E141)</f>
        <v>0</v>
      </c>
    </row>
    <row r="142" spans="1:6">
      <c r="A142" s="239"/>
      <c r="B142" s="240"/>
      <c r="C142" s="240"/>
      <c r="D142" s="241"/>
      <c r="E142" s="475"/>
      <c r="F142" s="476"/>
    </row>
    <row r="143" spans="1:6">
      <c r="B143" s="240"/>
      <c r="E143" s="475"/>
      <c r="F143" s="476"/>
    </row>
    <row r="144" spans="1:6">
      <c r="A144" s="239">
        <v>13</v>
      </c>
      <c r="B144" s="240" t="s">
        <v>337</v>
      </c>
      <c r="D144" s="241"/>
      <c r="E144" s="475"/>
      <c r="F144" s="476"/>
    </row>
    <row r="145" spans="1:6">
      <c r="A145" s="239"/>
      <c r="B145" s="240" t="s">
        <v>338</v>
      </c>
      <c r="E145" s="475"/>
      <c r="F145" s="476"/>
    </row>
    <row r="146" spans="1:6">
      <c r="B146" s="240" t="s">
        <v>339</v>
      </c>
      <c r="C146" s="240" t="s">
        <v>262</v>
      </c>
      <c r="D146" s="241">
        <f>((D15+D17)-D141)*1.25</f>
        <v>20</v>
      </c>
      <c r="E146" s="528"/>
      <c r="F146" s="476">
        <f>(D146*E146)</f>
        <v>0</v>
      </c>
    </row>
    <row r="147" spans="1:6">
      <c r="B147" s="240"/>
      <c r="C147" s="240"/>
      <c r="D147" s="241"/>
      <c r="E147" s="475"/>
      <c r="F147" s="476"/>
    </row>
    <row r="148" spans="1:6">
      <c r="B148" s="240"/>
      <c r="E148" s="475"/>
      <c r="F148" s="476"/>
    </row>
    <row r="149" spans="1:6">
      <c r="A149" s="239">
        <v>14</v>
      </c>
      <c r="B149" s="240" t="s">
        <v>340</v>
      </c>
      <c r="D149" s="241"/>
      <c r="E149" s="475"/>
      <c r="F149" s="476"/>
    </row>
    <row r="150" spans="1:6">
      <c r="A150" s="239"/>
      <c r="B150" s="240" t="s">
        <v>341</v>
      </c>
      <c r="C150" s="240"/>
      <c r="D150" s="241"/>
      <c r="E150" s="475"/>
      <c r="F150" s="476"/>
    </row>
    <row r="151" spans="1:6">
      <c r="A151" s="239"/>
      <c r="B151" s="240" t="s">
        <v>389</v>
      </c>
      <c r="D151" s="241"/>
      <c r="E151" s="475"/>
      <c r="F151" s="476"/>
    </row>
    <row r="152" spans="1:6">
      <c r="A152" s="239"/>
      <c r="B152" s="240" t="s">
        <v>342</v>
      </c>
      <c r="C152" s="240" t="s">
        <v>287</v>
      </c>
      <c r="D152" s="241">
        <v>1</v>
      </c>
      <c r="E152" s="528"/>
      <c r="F152" s="476">
        <f>(D152*E152)</f>
        <v>0</v>
      </c>
    </row>
    <row r="153" spans="1:6">
      <c r="A153" s="239"/>
      <c r="B153" s="240"/>
      <c r="C153" s="240"/>
      <c r="D153" s="241"/>
      <c r="E153" s="475"/>
      <c r="F153" s="476"/>
    </row>
    <row r="154" spans="1:6">
      <c r="A154" s="239"/>
      <c r="B154" s="240"/>
      <c r="C154" s="240"/>
      <c r="D154" s="241"/>
      <c r="E154" s="475"/>
      <c r="F154" s="476"/>
    </row>
    <row r="155" spans="1:6" ht="78.75">
      <c r="A155" s="253">
        <v>15</v>
      </c>
      <c r="B155" s="261" t="s">
        <v>343</v>
      </c>
      <c r="C155" s="262" t="s">
        <v>344</v>
      </c>
      <c r="D155" s="256">
        <v>160</v>
      </c>
      <c r="E155" s="531"/>
      <c r="F155" s="483">
        <f>(D155*E155)</f>
        <v>0</v>
      </c>
    </row>
    <row r="156" spans="1:6" ht="16.5">
      <c r="A156" s="253"/>
      <c r="B156" s="261"/>
      <c r="C156" s="262"/>
      <c r="D156" s="256"/>
      <c r="E156" s="482"/>
      <c r="F156" s="483"/>
    </row>
    <row r="157" spans="1:6" ht="16.5">
      <c r="A157" s="253"/>
      <c r="B157" s="263"/>
      <c r="C157" s="264"/>
      <c r="D157" s="265"/>
      <c r="E157" s="484"/>
      <c r="F157" s="485"/>
    </row>
    <row r="158" spans="1:6" ht="78.75">
      <c r="A158" s="253">
        <v>16</v>
      </c>
      <c r="B158" s="257" t="s">
        <v>345</v>
      </c>
      <c r="C158" s="262" t="s">
        <v>269</v>
      </c>
      <c r="D158" s="256">
        <v>0.8</v>
      </c>
      <c r="E158" s="531"/>
      <c r="F158" s="483">
        <f>(D158*E158)</f>
        <v>0</v>
      </c>
    </row>
    <row r="159" spans="1:6" ht="16.5">
      <c r="A159" s="253"/>
      <c r="B159" s="263"/>
      <c r="C159" s="264"/>
      <c r="D159" s="265"/>
      <c r="E159" s="484"/>
      <c r="F159" s="485"/>
    </row>
    <row r="160" spans="1:6" ht="16.5">
      <c r="A160" s="253"/>
      <c r="B160" s="263"/>
      <c r="C160" s="264"/>
      <c r="D160" s="265"/>
      <c r="E160" s="484"/>
      <c r="F160" s="485"/>
    </row>
    <row r="161" spans="1:6" ht="63">
      <c r="A161" s="253">
        <v>17</v>
      </c>
      <c r="B161" s="257" t="s">
        <v>346</v>
      </c>
      <c r="C161" s="262" t="s">
        <v>254</v>
      </c>
      <c r="D161" s="256">
        <v>1</v>
      </c>
      <c r="E161" s="531"/>
      <c r="F161" s="483">
        <f>(D161*E161)</f>
        <v>0</v>
      </c>
    </row>
    <row r="162" spans="1:6" ht="16.5">
      <c r="A162" s="253"/>
      <c r="B162" s="263"/>
      <c r="C162" s="264"/>
      <c r="D162" s="265"/>
      <c r="E162" s="484"/>
      <c r="F162" s="485"/>
    </row>
    <row r="163" spans="1:6" ht="16.5">
      <c r="A163" s="253"/>
      <c r="B163" s="263"/>
      <c r="C163" s="264"/>
      <c r="D163" s="265"/>
      <c r="E163" s="484"/>
      <c r="F163" s="485"/>
    </row>
    <row r="164" spans="1:6">
      <c r="A164" s="239">
        <v>18</v>
      </c>
      <c r="B164" s="240" t="s">
        <v>347</v>
      </c>
      <c r="C164" s="240" t="s">
        <v>16</v>
      </c>
      <c r="D164" s="241">
        <v>24</v>
      </c>
      <c r="E164" s="528"/>
      <c r="F164" s="476">
        <f>(D164*E164)</f>
        <v>0</v>
      </c>
    </row>
    <row r="165" spans="1:6">
      <c r="A165" s="268"/>
      <c r="B165" s="264"/>
      <c r="C165" s="264"/>
      <c r="D165" s="265"/>
      <c r="E165" s="266"/>
      <c r="F165" s="267"/>
    </row>
    <row r="166" spans="1:6">
      <c r="A166" s="269" t="s">
        <v>611</v>
      </c>
      <c r="B166" s="270" t="s">
        <v>379</v>
      </c>
      <c r="C166" s="270" t="s">
        <v>348</v>
      </c>
      <c r="D166" s="271"/>
      <c r="E166" s="532"/>
      <c r="F166" s="272">
        <f>SUM(F5:F164)</f>
        <v>0</v>
      </c>
    </row>
    <row r="167" spans="1:6">
      <c r="A167" s="273"/>
      <c r="B167" s="250"/>
    </row>
    <row r="168" spans="1:6">
      <c r="A168" s="273"/>
    </row>
    <row r="172" spans="1:6">
      <c r="E172" s="241"/>
    </row>
    <row r="173" spans="1:6">
      <c r="E173" s="241"/>
    </row>
    <row r="178" spans="5:5">
      <c r="E178" s="241"/>
    </row>
    <row r="179" spans="5:5">
      <c r="E179" s="241"/>
    </row>
    <row r="180" spans="5:5">
      <c r="E180" s="241"/>
    </row>
    <row r="222" spans="5:5">
      <c r="E222" s="241"/>
    </row>
    <row r="227" spans="5:5">
      <c r="E227" s="241"/>
    </row>
    <row r="228" spans="5:5">
      <c r="E228" s="241"/>
    </row>
    <row r="229" spans="5:5">
      <c r="E229" s="241"/>
    </row>
    <row r="230" spans="5:5">
      <c r="E230" s="241"/>
    </row>
    <row r="231" spans="5:5">
      <c r="E231" s="241"/>
    </row>
    <row r="232" spans="5:5">
      <c r="E232" s="241"/>
    </row>
    <row r="233" spans="5:5">
      <c r="E233" s="241"/>
    </row>
    <row r="234" spans="5:5">
      <c r="E234" s="241"/>
    </row>
  </sheetData>
  <sheetProtection algorithmName="SHA-512" hashValue="2pOq/JFkgGARk0JN2U2CjtL53u+cEuCkr4xtNelSwtFKwHJpNPHF8GL2a4NNuhkcgvC3IfhozZE7garsFCo9ig==" saltValue="x9MAzIM2Z7maLotW4ie39g=="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2" manualBreakCount="2">
    <brk id="36" max="5" man="1"/>
    <brk id="7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91"/>
  <sheetViews>
    <sheetView showZeros="0" view="pageBreakPreview" topLeftCell="A68" zoomScaleNormal="100" zoomScaleSheetLayoutView="100" workbookViewId="0">
      <selection activeCell="E87" activeCellId="2" sqref="E67 E73:E85 E87"/>
    </sheetView>
  </sheetViews>
  <sheetFormatPr defaultRowHeight="12.75"/>
  <cols>
    <col min="1" max="1" width="5.7109375" style="392" customWidth="1"/>
    <col min="2" max="2" width="46.7109375" style="336" customWidth="1"/>
    <col min="3" max="3" width="5.7109375" style="336" customWidth="1"/>
    <col min="4" max="4" width="5.7109375" style="395" customWidth="1"/>
    <col min="5" max="5" width="11.85546875" style="336" customWidth="1"/>
    <col min="6" max="6" width="12.7109375" style="336" customWidth="1"/>
    <col min="7" max="16384" width="9.140625" style="336"/>
  </cols>
  <sheetData>
    <row r="1" spans="1:6" ht="14.25">
      <c r="B1" s="410"/>
      <c r="E1" s="409"/>
      <c r="F1" s="409"/>
    </row>
    <row r="2" spans="1:6" ht="15.75">
      <c r="B2" s="456" t="s">
        <v>420</v>
      </c>
      <c r="E2" s="409"/>
      <c r="F2" s="409"/>
    </row>
    <row r="3" spans="1:6" ht="14.25">
      <c r="B3" s="410"/>
      <c r="E3" s="409"/>
      <c r="F3" s="409"/>
    </row>
    <row r="4" spans="1:6" s="413" customFormat="1" ht="16.5" customHeight="1">
      <c r="A4" s="411" t="s">
        <v>424</v>
      </c>
      <c r="B4" s="411" t="s">
        <v>425</v>
      </c>
      <c r="C4" s="411" t="s">
        <v>426</v>
      </c>
      <c r="D4" s="411" t="s">
        <v>549</v>
      </c>
      <c r="E4" s="412" t="s">
        <v>428</v>
      </c>
      <c r="F4" s="412" t="s">
        <v>429</v>
      </c>
    </row>
    <row r="5" spans="1:6" ht="14.25">
      <c r="B5" s="414"/>
      <c r="E5" s="487"/>
      <c r="F5" s="487"/>
    </row>
    <row r="6" spans="1:6" s="390" customFormat="1">
      <c r="A6" s="312" t="s">
        <v>430</v>
      </c>
      <c r="B6" s="415" t="s">
        <v>550</v>
      </c>
      <c r="C6" s="389"/>
      <c r="D6" s="415"/>
      <c r="E6" s="488"/>
      <c r="F6" s="488"/>
    </row>
    <row r="7" spans="1:6">
      <c r="A7" s="391"/>
      <c r="B7" s="395" t="s">
        <v>551</v>
      </c>
      <c r="C7" s="346"/>
      <c r="E7" s="488"/>
      <c r="F7" s="488"/>
    </row>
    <row r="8" spans="1:6">
      <c r="A8" s="391"/>
      <c r="B8" s="395"/>
      <c r="C8" s="346"/>
      <c r="E8" s="488"/>
      <c r="F8" s="488"/>
    </row>
    <row r="9" spans="1:6" s="390" customFormat="1" ht="64.5" customHeight="1">
      <c r="A9" s="334" t="s">
        <v>433</v>
      </c>
      <c r="B9" s="416" t="s">
        <v>552</v>
      </c>
      <c r="C9" s="336">
        <v>1</v>
      </c>
      <c r="D9" s="395" t="s">
        <v>6</v>
      </c>
      <c r="E9" s="533"/>
      <c r="F9" s="489" t="str">
        <f t="shared" ref="F9:F14" si="0">IF(AND(ISNUMBER(C9),ISNUMBER(E9)),C9*E9," ")</f>
        <v xml:space="preserve"> </v>
      </c>
    </row>
    <row r="10" spans="1:6" ht="15">
      <c r="A10" s="334" t="s">
        <v>433</v>
      </c>
      <c r="B10" s="354" t="s">
        <v>553</v>
      </c>
      <c r="C10" s="336">
        <v>1</v>
      </c>
      <c r="D10" s="395" t="s">
        <v>6</v>
      </c>
      <c r="E10" s="533"/>
      <c r="F10" s="489" t="str">
        <f t="shared" si="0"/>
        <v xml:space="preserve"> </v>
      </c>
    </row>
    <row r="11" spans="1:6" ht="51.75">
      <c r="A11" s="352" t="s">
        <v>433</v>
      </c>
      <c r="B11" s="393" t="s">
        <v>554</v>
      </c>
      <c r="C11" s="417">
        <v>1</v>
      </c>
      <c r="D11" s="417" t="s">
        <v>6</v>
      </c>
      <c r="E11" s="533"/>
      <c r="F11" s="489" t="str">
        <f t="shared" si="0"/>
        <v xml:space="preserve"> </v>
      </c>
    </row>
    <row r="12" spans="1:6" ht="63.75">
      <c r="A12" s="352" t="s">
        <v>433</v>
      </c>
      <c r="B12" s="416" t="s">
        <v>555</v>
      </c>
      <c r="C12" s="417">
        <v>3</v>
      </c>
      <c r="D12" s="417" t="s">
        <v>6</v>
      </c>
      <c r="E12" s="533"/>
      <c r="F12" s="489"/>
    </row>
    <row r="13" spans="1:6" ht="15">
      <c r="A13" s="352" t="s">
        <v>433</v>
      </c>
      <c r="B13" s="418" t="s">
        <v>556</v>
      </c>
      <c r="C13" s="419">
        <v>1</v>
      </c>
      <c r="D13" s="419" t="s">
        <v>6</v>
      </c>
      <c r="E13" s="533"/>
      <c r="F13" s="489" t="str">
        <f t="shared" si="0"/>
        <v xml:space="preserve"> </v>
      </c>
    </row>
    <row r="14" spans="1:6" s="421" customFormat="1" ht="15">
      <c r="A14" s="420" t="s">
        <v>433</v>
      </c>
      <c r="B14" s="421" t="s">
        <v>557</v>
      </c>
      <c r="C14" s="422">
        <v>1</v>
      </c>
      <c r="D14" s="423" t="s">
        <v>254</v>
      </c>
      <c r="E14" s="534"/>
      <c r="F14" s="489" t="str">
        <f t="shared" si="0"/>
        <v xml:space="preserve"> </v>
      </c>
    </row>
    <row r="15" spans="1:6" s="421" customFormat="1">
      <c r="A15" s="420"/>
      <c r="C15" s="422"/>
      <c r="D15" s="423"/>
      <c r="E15" s="490"/>
      <c r="F15" s="488"/>
    </row>
    <row r="16" spans="1:6" s="390" customFormat="1">
      <c r="A16" s="317"/>
      <c r="B16" s="388" t="s">
        <v>558</v>
      </c>
      <c r="C16" s="388"/>
      <c r="D16" s="415"/>
      <c r="E16" s="535"/>
      <c r="F16" s="491">
        <f>SUM(F9:F15)</f>
        <v>0</v>
      </c>
    </row>
    <row r="17" spans="1:6" s="390" customFormat="1">
      <c r="A17" s="317"/>
      <c r="B17" s="388"/>
      <c r="C17" s="388"/>
      <c r="D17" s="415"/>
      <c r="E17" s="488"/>
      <c r="F17" s="491"/>
    </row>
    <row r="18" spans="1:6" s="390" customFormat="1">
      <c r="A18" s="317"/>
      <c r="B18" s="388"/>
      <c r="C18" s="388"/>
      <c r="D18" s="415"/>
      <c r="E18" s="488"/>
      <c r="F18" s="491"/>
    </row>
    <row r="19" spans="1:6" s="390" customFormat="1">
      <c r="A19" s="389" t="s">
        <v>487</v>
      </c>
      <c r="B19" s="390" t="s">
        <v>488</v>
      </c>
      <c r="C19" s="388"/>
      <c r="D19" s="389"/>
      <c r="E19" s="488"/>
      <c r="F19" s="488"/>
    </row>
    <row r="20" spans="1:6">
      <c r="A20" s="391"/>
      <c r="B20" s="395" t="s">
        <v>559</v>
      </c>
      <c r="C20" s="346"/>
      <c r="E20" s="488"/>
      <c r="F20" s="488"/>
    </row>
    <row r="21" spans="1:6">
      <c r="A21" s="391"/>
      <c r="B21" s="395"/>
      <c r="C21" s="346"/>
      <c r="E21" s="488"/>
      <c r="F21" s="488"/>
    </row>
    <row r="22" spans="1:6" ht="27" customHeight="1">
      <c r="A22" s="391" t="s">
        <v>433</v>
      </c>
      <c r="B22" s="424" t="s">
        <v>560</v>
      </c>
      <c r="C22" s="346">
        <v>180</v>
      </c>
      <c r="D22" s="395" t="s">
        <v>9</v>
      </c>
      <c r="E22" s="533"/>
      <c r="F22" s="489" t="str">
        <f>IF(AND(ISNUMBER(C22),ISNUMBER(E22)),C22*E22," ")</f>
        <v xml:space="preserve"> </v>
      </c>
    </row>
    <row r="23" spans="1:6" s="390" customFormat="1" ht="15">
      <c r="A23" s="367" t="s">
        <v>433</v>
      </c>
      <c r="B23" s="325" t="s">
        <v>561</v>
      </c>
      <c r="C23" s="425">
        <v>165</v>
      </c>
      <c r="D23" s="426" t="s">
        <v>9</v>
      </c>
      <c r="E23" s="533"/>
      <c r="F23" s="489" t="str">
        <f>IF(AND(ISNUMBER(C23),ISNUMBER(E23)),C23*E23," ")</f>
        <v xml:space="preserve"> </v>
      </c>
    </row>
    <row r="24" spans="1:6" s="390" customFormat="1" ht="15">
      <c r="A24" s="367" t="s">
        <v>433</v>
      </c>
      <c r="B24" s="325" t="s">
        <v>562</v>
      </c>
      <c r="C24" s="425">
        <v>45</v>
      </c>
      <c r="D24" s="426" t="s">
        <v>6</v>
      </c>
      <c r="E24" s="533"/>
      <c r="F24" s="489" t="str">
        <f>IF(AND(ISNUMBER(C24),ISNUMBER(E24)),C24*E24," ")</f>
        <v xml:space="preserve"> </v>
      </c>
    </row>
    <row r="25" spans="1:6">
      <c r="B25" s="427"/>
      <c r="C25" s="346"/>
      <c r="E25" s="488"/>
      <c r="F25" s="488"/>
    </row>
    <row r="26" spans="1:6" s="390" customFormat="1">
      <c r="A26" s="389"/>
      <c r="B26" s="388" t="s">
        <v>563</v>
      </c>
      <c r="C26" s="388"/>
      <c r="D26" s="389"/>
      <c r="E26" s="535"/>
      <c r="F26" s="491">
        <f>SUM(F22:F25)</f>
        <v>0</v>
      </c>
    </row>
    <row r="27" spans="1:6" s="390" customFormat="1">
      <c r="A27" s="389"/>
      <c r="B27" s="388"/>
      <c r="C27" s="388"/>
      <c r="D27" s="389"/>
      <c r="E27" s="488"/>
      <c r="F27" s="491"/>
    </row>
    <row r="28" spans="1:6" s="390" customFormat="1">
      <c r="A28" s="389"/>
      <c r="B28" s="388"/>
      <c r="C28" s="388"/>
      <c r="D28" s="389"/>
      <c r="E28" s="488"/>
      <c r="F28" s="491"/>
    </row>
    <row r="29" spans="1:6" s="390" customFormat="1">
      <c r="A29" s="389" t="s">
        <v>495</v>
      </c>
      <c r="B29" s="390" t="s">
        <v>529</v>
      </c>
      <c r="C29" s="388"/>
      <c r="D29" s="389"/>
      <c r="E29" s="488"/>
      <c r="F29" s="491"/>
    </row>
    <row r="30" spans="1:6" s="390" customFormat="1">
      <c r="A30" s="392"/>
      <c r="B30" s="336"/>
      <c r="C30" s="346"/>
      <c r="D30" s="392"/>
      <c r="E30" s="488"/>
      <c r="F30" s="491"/>
    </row>
    <row r="31" spans="1:6" s="390" customFormat="1" ht="15">
      <c r="A31" s="428" t="s">
        <v>433</v>
      </c>
      <c r="B31" s="429" t="s">
        <v>564</v>
      </c>
      <c r="C31" s="425">
        <v>165</v>
      </c>
      <c r="D31" s="426" t="s">
        <v>9</v>
      </c>
      <c r="E31" s="533"/>
      <c r="F31" s="489" t="str">
        <f t="shared" ref="F31:F44" si="1">IF(AND(ISNUMBER(C31),ISNUMBER(E31)),C31*E31," ")</f>
        <v xml:space="preserve"> </v>
      </c>
    </row>
    <row r="32" spans="1:6" s="390" customFormat="1" ht="15">
      <c r="A32" s="394" t="s">
        <v>433</v>
      </c>
      <c r="B32" s="336" t="s">
        <v>530</v>
      </c>
      <c r="C32" s="336">
        <v>1</v>
      </c>
      <c r="D32" s="336" t="s">
        <v>254</v>
      </c>
      <c r="E32" s="533"/>
      <c r="F32" s="489" t="str">
        <f t="shared" si="1"/>
        <v xml:space="preserve"> </v>
      </c>
    </row>
    <row r="33" spans="1:6" s="390" customFormat="1" ht="26.25">
      <c r="A33" s="394" t="s">
        <v>433</v>
      </c>
      <c r="B33" s="336" t="s">
        <v>565</v>
      </c>
      <c r="C33" s="336">
        <v>1</v>
      </c>
      <c r="D33" s="336" t="s">
        <v>254</v>
      </c>
      <c r="E33" s="533"/>
      <c r="F33" s="489" t="str">
        <f t="shared" si="1"/>
        <v xml:space="preserve"> </v>
      </c>
    </row>
    <row r="34" spans="1:6" s="390" customFormat="1" ht="26.25" customHeight="1">
      <c r="A34" s="428" t="s">
        <v>433</v>
      </c>
      <c r="B34" s="430" t="s">
        <v>566</v>
      </c>
      <c r="C34" s="425">
        <f>110+15</f>
        <v>125</v>
      </c>
      <c r="D34" s="426" t="s">
        <v>9</v>
      </c>
      <c r="E34" s="533"/>
      <c r="F34" s="489" t="str">
        <f t="shared" si="1"/>
        <v xml:space="preserve"> </v>
      </c>
    </row>
    <row r="35" spans="1:6" s="390" customFormat="1" ht="26.25" customHeight="1">
      <c r="A35" s="428" t="s">
        <v>433</v>
      </c>
      <c r="B35" s="430" t="s">
        <v>567</v>
      </c>
      <c r="C35" s="425">
        <f>110+15</f>
        <v>125</v>
      </c>
      <c r="D35" s="426" t="s">
        <v>9</v>
      </c>
      <c r="E35" s="533"/>
      <c r="F35" s="489" t="str">
        <f t="shared" si="1"/>
        <v xml:space="preserve"> </v>
      </c>
    </row>
    <row r="36" spans="1:6" s="390" customFormat="1" ht="26.25" customHeight="1">
      <c r="A36" s="428" t="s">
        <v>433</v>
      </c>
      <c r="B36" s="430" t="s">
        <v>568</v>
      </c>
      <c r="C36" s="425">
        <v>40</v>
      </c>
      <c r="D36" s="426" t="s">
        <v>9</v>
      </c>
      <c r="E36" s="533"/>
      <c r="F36" s="489" t="str">
        <f t="shared" si="1"/>
        <v xml:space="preserve"> </v>
      </c>
    </row>
    <row r="37" spans="1:6" s="390" customFormat="1" ht="15">
      <c r="A37" s="428" t="s">
        <v>433</v>
      </c>
      <c r="B37" s="430" t="s">
        <v>569</v>
      </c>
      <c r="C37" s="425">
        <v>4</v>
      </c>
      <c r="D37" s="426" t="s">
        <v>254</v>
      </c>
      <c r="E37" s="533"/>
      <c r="F37" s="489" t="str">
        <f t="shared" si="1"/>
        <v xml:space="preserve"> </v>
      </c>
    </row>
    <row r="38" spans="1:6" s="390" customFormat="1" ht="26.25" customHeight="1">
      <c r="A38" s="428" t="s">
        <v>433</v>
      </c>
      <c r="B38" s="430" t="s">
        <v>570</v>
      </c>
      <c r="C38" s="425">
        <v>2</v>
      </c>
      <c r="D38" s="426" t="s">
        <v>254</v>
      </c>
      <c r="E38" s="533"/>
      <c r="F38" s="489" t="str">
        <f t="shared" si="1"/>
        <v xml:space="preserve"> </v>
      </c>
    </row>
    <row r="39" spans="1:6" s="390" customFormat="1" ht="38.25">
      <c r="A39" s="428" t="s">
        <v>433</v>
      </c>
      <c r="B39" s="430" t="s">
        <v>571</v>
      </c>
      <c r="C39" s="425">
        <v>3</v>
      </c>
      <c r="D39" s="426" t="s">
        <v>254</v>
      </c>
      <c r="E39" s="533"/>
      <c r="F39" s="489" t="str">
        <f t="shared" si="1"/>
        <v xml:space="preserve"> </v>
      </c>
    </row>
    <row r="40" spans="1:6" s="390" customFormat="1" ht="15">
      <c r="A40" s="428" t="s">
        <v>433</v>
      </c>
      <c r="B40" s="430" t="s">
        <v>572</v>
      </c>
      <c r="C40" s="425">
        <v>130</v>
      </c>
      <c r="D40" s="426" t="s">
        <v>573</v>
      </c>
      <c r="E40" s="533"/>
      <c r="F40" s="489" t="str">
        <f t="shared" si="1"/>
        <v xml:space="preserve"> </v>
      </c>
    </row>
    <row r="41" spans="1:6" s="390" customFormat="1" ht="15">
      <c r="A41" s="428" t="s">
        <v>433</v>
      </c>
      <c r="B41" s="430" t="s">
        <v>574</v>
      </c>
      <c r="C41" s="425">
        <v>130</v>
      </c>
      <c r="D41" s="426" t="s">
        <v>573</v>
      </c>
      <c r="E41" s="533"/>
      <c r="F41" s="489" t="str">
        <f t="shared" si="1"/>
        <v xml:space="preserve"> </v>
      </c>
    </row>
    <row r="42" spans="1:6" s="390" customFormat="1" ht="15">
      <c r="A42" s="428" t="s">
        <v>433</v>
      </c>
      <c r="B42" s="429" t="s">
        <v>575</v>
      </c>
      <c r="C42" s="425">
        <v>115</v>
      </c>
      <c r="D42" s="426" t="s">
        <v>9</v>
      </c>
      <c r="E42" s="533"/>
      <c r="F42" s="489" t="str">
        <f t="shared" si="1"/>
        <v xml:space="preserve"> </v>
      </c>
    </row>
    <row r="43" spans="1:6" s="390" customFormat="1" ht="15">
      <c r="A43" s="367" t="s">
        <v>433</v>
      </c>
      <c r="B43" s="325" t="s">
        <v>576</v>
      </c>
      <c r="C43" s="425">
        <v>115</v>
      </c>
      <c r="D43" s="426" t="s">
        <v>9</v>
      </c>
      <c r="E43" s="533"/>
      <c r="F43" s="489" t="str">
        <f t="shared" si="1"/>
        <v xml:space="preserve"> </v>
      </c>
    </row>
    <row r="44" spans="1:6" s="390" customFormat="1" ht="15">
      <c r="A44" s="428" t="s">
        <v>433</v>
      </c>
      <c r="B44" s="429" t="s">
        <v>577</v>
      </c>
      <c r="C44" s="425">
        <v>1</v>
      </c>
      <c r="D44" s="426" t="s">
        <v>254</v>
      </c>
      <c r="E44" s="533"/>
      <c r="F44" s="489" t="str">
        <f t="shared" si="1"/>
        <v xml:space="preserve"> </v>
      </c>
    </row>
    <row r="45" spans="1:6" s="390" customFormat="1">
      <c r="A45" s="374"/>
      <c r="B45" s="325"/>
      <c r="C45" s="365"/>
      <c r="D45" s="372"/>
      <c r="E45" s="488"/>
      <c r="F45" s="491"/>
    </row>
    <row r="46" spans="1:6" s="390" customFormat="1">
      <c r="A46" s="389"/>
      <c r="B46" s="388" t="s">
        <v>533</v>
      </c>
      <c r="C46" s="388"/>
      <c r="D46" s="389"/>
      <c r="E46" s="535"/>
      <c r="F46" s="491">
        <f>SUM(F31:F44)</f>
        <v>0</v>
      </c>
    </row>
    <row r="47" spans="1:6" s="390" customFormat="1">
      <c r="A47" s="389"/>
      <c r="B47" s="388"/>
      <c r="C47" s="388"/>
      <c r="D47" s="389"/>
      <c r="E47" s="492"/>
      <c r="F47" s="491"/>
    </row>
    <row r="48" spans="1:6" s="390" customFormat="1">
      <c r="A48" s="389"/>
      <c r="B48" s="388"/>
      <c r="C48" s="388"/>
      <c r="D48" s="389"/>
      <c r="E48" s="488"/>
      <c r="F48" s="491"/>
    </row>
    <row r="49" spans="1:6" s="390" customFormat="1">
      <c r="A49" s="389" t="s">
        <v>520</v>
      </c>
      <c r="B49" s="390" t="s">
        <v>578</v>
      </c>
      <c r="C49" s="388"/>
      <c r="D49" s="389"/>
      <c r="E49" s="488"/>
      <c r="F49" s="488"/>
    </row>
    <row r="50" spans="1:6">
      <c r="A50" s="391"/>
      <c r="B50" s="395" t="s">
        <v>432</v>
      </c>
      <c r="C50" s="346"/>
      <c r="E50" s="488"/>
      <c r="F50" s="488"/>
    </row>
    <row r="51" spans="1:6">
      <c r="C51" s="346"/>
      <c r="D51" s="392"/>
      <c r="E51" s="488"/>
      <c r="F51" s="488"/>
    </row>
    <row r="52" spans="1:6" ht="15">
      <c r="A52" s="392" t="s">
        <v>433</v>
      </c>
      <c r="B52" s="336" t="s">
        <v>579</v>
      </c>
      <c r="C52" s="336">
        <v>100</v>
      </c>
      <c r="D52" s="395" t="s">
        <v>9</v>
      </c>
      <c r="E52" s="533"/>
      <c r="F52" s="489" t="str">
        <f t="shared" ref="F52:F65" si="2">IF(AND(ISNUMBER(C52),ISNUMBER(E52)),C52*E52," ")</f>
        <v xml:space="preserve"> </v>
      </c>
    </row>
    <row r="53" spans="1:6" ht="15">
      <c r="A53" s="392" t="s">
        <v>433</v>
      </c>
      <c r="B53" s="336" t="s">
        <v>580</v>
      </c>
      <c r="C53" s="336">
        <v>4</v>
      </c>
      <c r="D53" s="395" t="s">
        <v>6</v>
      </c>
      <c r="E53" s="533"/>
      <c r="F53" s="489" t="str">
        <f t="shared" si="2"/>
        <v xml:space="preserve"> </v>
      </c>
    </row>
    <row r="54" spans="1:6" ht="38.25">
      <c r="A54" s="391" t="s">
        <v>433</v>
      </c>
      <c r="B54" s="424" t="s">
        <v>581</v>
      </c>
      <c r="C54" s="336">
        <v>2</v>
      </c>
      <c r="D54" s="431" t="s">
        <v>254</v>
      </c>
      <c r="E54" s="533"/>
      <c r="F54" s="489" t="str">
        <f t="shared" si="2"/>
        <v xml:space="preserve"> </v>
      </c>
    </row>
    <row r="55" spans="1:6" ht="39">
      <c r="A55" s="391" t="s">
        <v>433</v>
      </c>
      <c r="B55" s="336" t="s">
        <v>582</v>
      </c>
      <c r="C55" s="346">
        <v>1</v>
      </c>
      <c r="D55" s="395" t="s">
        <v>254</v>
      </c>
      <c r="E55" s="533"/>
      <c r="F55" s="489" t="str">
        <f t="shared" si="2"/>
        <v xml:space="preserve"> </v>
      </c>
    </row>
    <row r="56" spans="1:6" ht="26.25">
      <c r="A56" s="420" t="s">
        <v>433</v>
      </c>
      <c r="B56" s="421" t="s">
        <v>583</v>
      </c>
      <c r="C56" s="432">
        <v>3</v>
      </c>
      <c r="D56" s="423" t="s">
        <v>6</v>
      </c>
      <c r="E56" s="533"/>
      <c r="F56" s="489" t="str">
        <f t="shared" si="2"/>
        <v xml:space="preserve"> </v>
      </c>
    </row>
    <row r="57" spans="1:6" ht="15">
      <c r="A57" s="374" t="s">
        <v>433</v>
      </c>
      <c r="B57" s="369" t="s">
        <v>584</v>
      </c>
      <c r="C57" s="365">
        <v>1</v>
      </c>
      <c r="D57" s="372" t="s">
        <v>287</v>
      </c>
      <c r="E57" s="533"/>
      <c r="F57" s="489" t="str">
        <f t="shared" si="2"/>
        <v xml:space="preserve"> </v>
      </c>
    </row>
    <row r="58" spans="1:6" ht="15">
      <c r="A58" s="374" t="s">
        <v>433</v>
      </c>
      <c r="B58" s="369" t="s">
        <v>585</v>
      </c>
      <c r="C58" s="365">
        <v>6</v>
      </c>
      <c r="D58" s="372" t="s">
        <v>287</v>
      </c>
      <c r="E58" s="533"/>
      <c r="F58" s="489" t="str">
        <f t="shared" si="2"/>
        <v xml:space="preserve"> </v>
      </c>
    </row>
    <row r="59" spans="1:6" ht="15">
      <c r="A59" s="374" t="s">
        <v>433</v>
      </c>
      <c r="B59" s="369" t="s">
        <v>586</v>
      </c>
      <c r="C59" s="365">
        <v>1</v>
      </c>
      <c r="D59" s="372" t="s">
        <v>287</v>
      </c>
      <c r="E59" s="533"/>
      <c r="F59" s="489" t="str">
        <f t="shared" si="2"/>
        <v xml:space="preserve"> </v>
      </c>
    </row>
    <row r="60" spans="1:6" ht="15">
      <c r="A60" s="392" t="s">
        <v>433</v>
      </c>
      <c r="B60" s="393" t="s">
        <v>587</v>
      </c>
      <c r="C60" s="336">
        <v>1</v>
      </c>
      <c r="D60" s="395" t="s">
        <v>6</v>
      </c>
      <c r="E60" s="533"/>
      <c r="F60" s="489" t="str">
        <f t="shared" si="2"/>
        <v xml:space="preserve"> </v>
      </c>
    </row>
    <row r="61" spans="1:6" ht="15">
      <c r="A61" s="392" t="s">
        <v>433</v>
      </c>
      <c r="B61" s="336" t="s">
        <v>588</v>
      </c>
      <c r="C61" s="336">
        <v>4</v>
      </c>
      <c r="D61" s="395" t="s">
        <v>6</v>
      </c>
      <c r="E61" s="533"/>
      <c r="F61" s="489" t="str">
        <f t="shared" si="2"/>
        <v xml:space="preserve"> </v>
      </c>
    </row>
    <row r="62" spans="1:6" ht="15">
      <c r="A62" s="392" t="s">
        <v>433</v>
      </c>
      <c r="B62" s="336" t="s">
        <v>589</v>
      </c>
      <c r="C62" s="336">
        <v>1</v>
      </c>
      <c r="D62" s="395" t="s">
        <v>6</v>
      </c>
      <c r="E62" s="533"/>
      <c r="F62" s="489" t="str">
        <f t="shared" si="2"/>
        <v xml:space="preserve"> </v>
      </c>
    </row>
    <row r="63" spans="1:6" ht="15">
      <c r="A63" s="392" t="s">
        <v>433</v>
      </c>
      <c r="B63" s="336" t="s">
        <v>590</v>
      </c>
      <c r="C63" s="336">
        <v>1</v>
      </c>
      <c r="D63" s="395" t="s">
        <v>6</v>
      </c>
      <c r="E63" s="533"/>
      <c r="F63" s="489" t="str">
        <f t="shared" si="2"/>
        <v xml:space="preserve"> </v>
      </c>
    </row>
    <row r="64" spans="1:6" ht="15">
      <c r="A64" s="392" t="s">
        <v>433</v>
      </c>
      <c r="B64" s="336" t="s">
        <v>591</v>
      </c>
      <c r="C64" s="336">
        <v>10</v>
      </c>
      <c r="D64" s="395" t="s">
        <v>6</v>
      </c>
      <c r="E64" s="533"/>
      <c r="F64" s="489" t="str">
        <f t="shared" si="2"/>
        <v xml:space="preserve"> </v>
      </c>
    </row>
    <row r="65" spans="1:6" s="434" customFormat="1" ht="15">
      <c r="A65" s="433" t="s">
        <v>433</v>
      </c>
      <c r="B65" s="434" t="s">
        <v>592</v>
      </c>
      <c r="C65" s="435">
        <v>1</v>
      </c>
      <c r="D65" s="431" t="s">
        <v>254</v>
      </c>
      <c r="E65" s="533"/>
      <c r="F65" s="489" t="str">
        <f t="shared" si="2"/>
        <v xml:space="preserve"> </v>
      </c>
    </row>
    <row r="66" spans="1:6" s="434" customFormat="1">
      <c r="A66" s="433"/>
      <c r="C66" s="435"/>
      <c r="D66" s="431"/>
      <c r="E66" s="490"/>
      <c r="F66" s="490"/>
    </row>
    <row r="67" spans="1:6" s="390" customFormat="1">
      <c r="A67" s="389"/>
      <c r="B67" s="388" t="s">
        <v>593</v>
      </c>
      <c r="C67" s="388"/>
      <c r="D67" s="389"/>
      <c r="E67" s="535"/>
      <c r="F67" s="491">
        <f>SUM(F52:F66)</f>
        <v>0</v>
      </c>
    </row>
    <row r="68" spans="1:6" s="390" customFormat="1">
      <c r="A68" s="389"/>
      <c r="B68" s="388"/>
      <c r="C68" s="388"/>
      <c r="D68" s="389"/>
      <c r="E68" s="488"/>
      <c r="F68" s="491"/>
    </row>
    <row r="69" spans="1:6" s="390" customFormat="1">
      <c r="A69" s="389"/>
      <c r="D69" s="415"/>
      <c r="E69" s="490"/>
      <c r="F69" s="492"/>
    </row>
    <row r="70" spans="1:6" s="390" customFormat="1">
      <c r="A70" s="389"/>
      <c r="D70" s="415"/>
      <c r="E70" s="490"/>
      <c r="F70" s="490"/>
    </row>
    <row r="71" spans="1:6" ht="15.75">
      <c r="B71" s="436" t="s">
        <v>13</v>
      </c>
      <c r="E71" s="488"/>
      <c r="F71" s="488"/>
    </row>
    <row r="72" spans="1:6" ht="15.75">
      <c r="B72" s="436"/>
      <c r="E72" s="488"/>
      <c r="F72" s="488"/>
    </row>
    <row r="73" spans="1:6">
      <c r="A73" s="317" t="s">
        <v>430</v>
      </c>
      <c r="B73" s="313" t="s">
        <v>431</v>
      </c>
      <c r="C73" s="390">
        <v>1</v>
      </c>
      <c r="D73" s="415" t="s">
        <v>254</v>
      </c>
      <c r="E73" s="536"/>
      <c r="F73" s="491">
        <f>F16</f>
        <v>0</v>
      </c>
    </row>
    <row r="74" spans="1:6">
      <c r="A74" s="317" t="s">
        <v>487</v>
      </c>
      <c r="B74" s="313" t="s">
        <v>488</v>
      </c>
      <c r="C74" s="390">
        <v>1</v>
      </c>
      <c r="D74" s="415" t="s">
        <v>254</v>
      </c>
      <c r="E74" s="536"/>
      <c r="F74" s="491">
        <f>F26</f>
        <v>0</v>
      </c>
    </row>
    <row r="75" spans="1:6">
      <c r="A75" s="317" t="s">
        <v>495</v>
      </c>
      <c r="B75" s="313" t="s">
        <v>529</v>
      </c>
      <c r="C75" s="390">
        <v>1</v>
      </c>
      <c r="D75" s="415" t="s">
        <v>254</v>
      </c>
      <c r="E75" s="536"/>
      <c r="F75" s="491">
        <f>F46</f>
        <v>0</v>
      </c>
    </row>
    <row r="76" spans="1:6">
      <c r="A76" s="317" t="s">
        <v>520</v>
      </c>
      <c r="B76" s="313" t="s">
        <v>578</v>
      </c>
      <c r="C76" s="390">
        <v>1</v>
      </c>
      <c r="D76" s="415" t="s">
        <v>254</v>
      </c>
      <c r="E76" s="536"/>
      <c r="F76" s="491">
        <f>F67</f>
        <v>0</v>
      </c>
    </row>
    <row r="77" spans="1:6" ht="15">
      <c r="A77" s="317" t="s">
        <v>528</v>
      </c>
      <c r="B77" s="313" t="s">
        <v>536</v>
      </c>
      <c r="C77" s="390">
        <v>1</v>
      </c>
      <c r="D77" s="415" t="s">
        <v>254</v>
      </c>
      <c r="E77" s="533"/>
      <c r="F77" s="493" t="str">
        <f t="shared" ref="F77:F85" si="3">IF(AND(ISNUMBER(C77),ISNUMBER(E77)),C77*E77," ")</f>
        <v xml:space="preserve"> </v>
      </c>
    </row>
    <row r="78" spans="1:6" ht="15">
      <c r="A78" s="317" t="s">
        <v>535</v>
      </c>
      <c r="B78" s="313" t="s">
        <v>594</v>
      </c>
      <c r="C78" s="390">
        <v>1</v>
      </c>
      <c r="D78" s="415" t="s">
        <v>254</v>
      </c>
      <c r="E78" s="533"/>
      <c r="F78" s="493" t="str">
        <f t="shared" si="3"/>
        <v xml:space="preserve"> </v>
      </c>
    </row>
    <row r="79" spans="1:6" ht="38.25">
      <c r="A79" s="317" t="s">
        <v>537</v>
      </c>
      <c r="B79" s="313" t="s">
        <v>540</v>
      </c>
      <c r="C79" s="390">
        <v>1</v>
      </c>
      <c r="D79" s="415" t="s">
        <v>254</v>
      </c>
      <c r="E79" s="533"/>
      <c r="F79" s="493" t="str">
        <f t="shared" si="3"/>
        <v xml:space="preserve"> </v>
      </c>
    </row>
    <row r="80" spans="1:6" ht="25.5">
      <c r="A80" s="317" t="s">
        <v>539</v>
      </c>
      <c r="B80" s="313" t="s">
        <v>595</v>
      </c>
      <c r="C80" s="390">
        <v>1</v>
      </c>
      <c r="D80" s="415" t="s">
        <v>254</v>
      </c>
      <c r="E80" s="533"/>
      <c r="F80" s="493" t="str">
        <f t="shared" si="3"/>
        <v xml:space="preserve"> </v>
      </c>
    </row>
    <row r="81" spans="1:6" ht="38.25">
      <c r="A81" s="317" t="s">
        <v>541</v>
      </c>
      <c r="B81" s="313" t="s">
        <v>596</v>
      </c>
      <c r="C81" s="390">
        <v>1</v>
      </c>
      <c r="D81" s="415" t="s">
        <v>254</v>
      </c>
      <c r="E81" s="533"/>
      <c r="F81" s="493" t="str">
        <f t="shared" si="3"/>
        <v xml:space="preserve"> </v>
      </c>
    </row>
    <row r="82" spans="1:6" ht="51">
      <c r="A82" s="317" t="s">
        <v>543</v>
      </c>
      <c r="B82" s="313" t="s">
        <v>597</v>
      </c>
      <c r="C82" s="390">
        <v>1</v>
      </c>
      <c r="D82" s="415" t="s">
        <v>254</v>
      </c>
      <c r="E82" s="533"/>
      <c r="F82" s="493" t="str">
        <f t="shared" si="3"/>
        <v xml:space="preserve"> </v>
      </c>
    </row>
    <row r="83" spans="1:6" ht="89.25">
      <c r="A83" s="317" t="s">
        <v>545</v>
      </c>
      <c r="B83" s="437" t="s">
        <v>598</v>
      </c>
      <c r="C83" s="438">
        <v>1</v>
      </c>
      <c r="D83" s="438" t="s">
        <v>254</v>
      </c>
      <c r="E83" s="533"/>
      <c r="F83" s="493" t="str">
        <f t="shared" si="3"/>
        <v xml:space="preserve"> </v>
      </c>
    </row>
    <row r="84" spans="1:6" ht="15">
      <c r="A84" s="317" t="s">
        <v>599</v>
      </c>
      <c r="B84" s="313" t="s">
        <v>600</v>
      </c>
      <c r="C84" s="438">
        <v>1</v>
      </c>
      <c r="D84" s="438" t="s">
        <v>254</v>
      </c>
      <c r="E84" s="533"/>
      <c r="F84" s="493" t="str">
        <f t="shared" si="3"/>
        <v xml:space="preserve"> </v>
      </c>
    </row>
    <row r="85" spans="1:6" ht="15">
      <c r="A85" s="317" t="s">
        <v>601</v>
      </c>
      <c r="B85" s="313" t="s">
        <v>602</v>
      </c>
      <c r="C85" s="438">
        <v>1</v>
      </c>
      <c r="D85" s="438" t="s">
        <v>254</v>
      </c>
      <c r="E85" s="533"/>
      <c r="F85" s="493" t="str">
        <f t="shared" si="3"/>
        <v xml:space="preserve"> </v>
      </c>
    </row>
    <row r="86" spans="1:6">
      <c r="A86" s="439"/>
      <c r="B86" s="440"/>
      <c r="C86" s="440"/>
      <c r="D86" s="441"/>
      <c r="E86" s="494"/>
      <c r="F86" s="494"/>
    </row>
    <row r="87" spans="1:6" s="314" customFormat="1" ht="22.5" customHeight="1">
      <c r="A87" s="442"/>
      <c r="B87" s="314" t="s">
        <v>547</v>
      </c>
      <c r="D87" s="315"/>
      <c r="E87" s="537" t="s">
        <v>548</v>
      </c>
      <c r="F87" s="495">
        <f>SUM(F73:F86)</f>
        <v>0</v>
      </c>
    </row>
    <row r="88" spans="1:6" s="314" customFormat="1" ht="15.6" customHeight="1">
      <c r="A88" s="442"/>
      <c r="D88" s="315"/>
      <c r="E88" s="443"/>
      <c r="F88" s="443"/>
    </row>
    <row r="89" spans="1:6" s="446" customFormat="1" ht="30.75" customHeight="1">
      <c r="A89" s="444"/>
      <c r="B89" s="559" t="s">
        <v>603</v>
      </c>
      <c r="C89" s="559"/>
      <c r="D89" s="559"/>
      <c r="E89" s="559"/>
      <c r="F89" s="445"/>
    </row>
    <row r="90" spans="1:6">
      <c r="B90" s="414"/>
      <c r="D90" s="336"/>
    </row>
    <row r="91" spans="1:6" s="377" customFormat="1" ht="14.25">
      <c r="A91" s="447"/>
      <c r="B91" s="448"/>
      <c r="C91" s="449"/>
      <c r="D91" s="450"/>
      <c r="E91" s="451"/>
      <c r="F91" s="451"/>
    </row>
  </sheetData>
  <sheetProtection algorithmName="SHA-512" hashValue="eZruURgTgCclBBBfUQqFnv/ZCt+zFRSUVsVmMBYuUK0KWvFKGaVSb2SvSzsJ20moC0VZLGdSAR+a1KDTCIyM3g==" saltValue="438Xy+/F4eZMPlVqqaCFVQ==" spinCount="100000" sheet="1" objects="1" scenarios="1"/>
  <mergeCells count="1">
    <mergeCell ref="B89:E89"/>
  </mergeCells>
  <conditionalFormatting sqref="E6:E8">
    <cfRule type="cellIs" dxfId="7"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2" manualBreakCount="2">
    <brk id="27" max="16383" man="1"/>
    <brk id="6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U141"/>
  <sheetViews>
    <sheetView showZeros="0" view="pageBreakPreview" zoomScaleNormal="100" zoomScaleSheetLayoutView="100" workbookViewId="0">
      <selection activeCell="F11" sqref="F11"/>
    </sheetView>
  </sheetViews>
  <sheetFormatPr defaultColWidth="9.140625" defaultRowHeight="12.75"/>
  <cols>
    <col min="1" max="1" width="4.5703125" style="303" bestFit="1" customWidth="1"/>
    <col min="2" max="2" width="45.7109375" style="304" customWidth="1"/>
    <col min="3" max="3" width="5.85546875" style="294" customWidth="1"/>
    <col min="4" max="4" width="6.28515625" style="294" customWidth="1"/>
    <col min="5" max="5" width="11.42578125" style="295" customWidth="1"/>
    <col min="6" max="6" width="14.7109375" style="295" customWidth="1"/>
    <col min="7" max="16384" width="9.140625" style="294"/>
  </cols>
  <sheetData>
    <row r="1" spans="1:6" ht="14.1" customHeight="1">
      <c r="A1" s="292"/>
      <c r="B1" s="293"/>
    </row>
    <row r="2" spans="1:6" ht="14.1" customHeight="1">
      <c r="A2" s="296"/>
      <c r="B2" s="297"/>
      <c r="C2" s="298"/>
      <c r="D2" s="299"/>
    </row>
    <row r="3" spans="1:6" ht="32.25" customHeight="1">
      <c r="A3" s="296"/>
      <c r="B3" s="560" t="s">
        <v>419</v>
      </c>
      <c r="C3" s="560"/>
      <c r="D3" s="560"/>
      <c r="E3" s="300"/>
    </row>
    <row r="4" spans="1:6" ht="14.1" customHeight="1">
      <c r="E4" s="300"/>
      <c r="F4" s="300"/>
    </row>
    <row r="5" spans="1:6" s="308" customFormat="1" ht="16.5" customHeight="1">
      <c r="A5" s="305" t="s">
        <v>424</v>
      </c>
      <c r="B5" s="306" t="s">
        <v>425</v>
      </c>
      <c r="C5" s="305" t="s">
        <v>426</v>
      </c>
      <c r="D5" s="305" t="s">
        <v>427</v>
      </c>
      <c r="E5" s="307" t="s">
        <v>428</v>
      </c>
      <c r="F5" s="307" t="s">
        <v>429</v>
      </c>
    </row>
    <row r="6" spans="1:6" s="304" customFormat="1">
      <c r="A6" s="309"/>
      <c r="D6" s="310"/>
      <c r="E6" s="311" t="str">
        <f>IF(AND(ISNUMBER(#REF!),ISNUMBER(#REF!)),ROUND((#REF!*#REF!+#REF!*#REF!*#REF!)*(1+#REF!)*#REF!*#REF!*#REF!,2)," ")</f>
        <v xml:space="preserve"> </v>
      </c>
      <c r="F6" s="311" t="str">
        <f>IF(AND(ISNUMBER(C6),ISNUMBER(E6)),C6*E6," ")</f>
        <v xml:space="preserve"> </v>
      </c>
    </row>
    <row r="7" spans="1:6" s="314" customFormat="1">
      <c r="A7" s="312" t="s">
        <v>430</v>
      </c>
      <c r="B7" s="313" t="s">
        <v>431</v>
      </c>
      <c r="D7" s="315"/>
      <c r="E7" s="316"/>
      <c r="F7" s="316"/>
    </row>
    <row r="8" spans="1:6" s="314" customFormat="1">
      <c r="A8" s="317"/>
      <c r="B8" s="318"/>
      <c r="C8" s="319"/>
      <c r="D8" s="315"/>
      <c r="E8" s="320"/>
      <c r="F8" s="321"/>
    </row>
    <row r="9" spans="1:6" s="304" customFormat="1">
      <c r="A9" s="322"/>
      <c r="B9" s="323" t="s">
        <v>432</v>
      </c>
      <c r="C9" s="324"/>
      <c r="D9" s="324"/>
      <c r="E9" s="311" t="str">
        <f>IF(AND(ISNUMBER(#REF!),ISNUMBER(#REF!)),ROUND((#REF!*#REF!+#REF!*#REF!*#REF!)*(1+#REF!)*#REF!*#REF!*#REF!,2)," ")</f>
        <v xml:space="preserve"> </v>
      </c>
      <c r="F9" s="311"/>
    </row>
    <row r="10" spans="1:6" s="304" customFormat="1">
      <c r="A10" s="322"/>
      <c r="B10" s="325"/>
      <c r="C10" s="326"/>
      <c r="D10" s="327"/>
      <c r="E10" s="311" t="str">
        <f>IF(AND(ISNUMBER(#REF!),ISNUMBER(#REF!)),ROUND((#REF!*#REF!+#REF!*#REF!*#REF!)*(1+#REF!)*#REF!*#REF!*#REF!,2)," ")</f>
        <v xml:space="preserve"> </v>
      </c>
      <c r="F10" s="311"/>
    </row>
    <row r="11" spans="1:6" s="332" customFormat="1" ht="38.25">
      <c r="A11" s="328" t="s">
        <v>433</v>
      </c>
      <c r="B11" s="329" t="s">
        <v>434</v>
      </c>
      <c r="C11" s="330">
        <v>1</v>
      </c>
      <c r="D11" s="331" t="s">
        <v>287</v>
      </c>
      <c r="E11" s="538"/>
      <c r="F11" s="497" t="str">
        <f t="shared" ref="F11:F61" si="0">IF(AND(ISNUMBER(C11),ISNUMBER(E11)),C11*E11," ")</f>
        <v xml:space="preserve"> </v>
      </c>
    </row>
    <row r="12" spans="1:6" s="332" customFormat="1" ht="38.25">
      <c r="A12" s="328" t="s">
        <v>433</v>
      </c>
      <c r="B12" s="325" t="s">
        <v>435</v>
      </c>
      <c r="C12" s="330">
        <v>1</v>
      </c>
      <c r="D12" s="331" t="s">
        <v>287</v>
      </c>
      <c r="E12" s="538"/>
      <c r="F12" s="497" t="str">
        <f t="shared" si="0"/>
        <v xml:space="preserve"> </v>
      </c>
    </row>
    <row r="13" spans="1:6" s="332" customFormat="1" ht="25.5">
      <c r="A13" s="328" t="s">
        <v>433</v>
      </c>
      <c r="B13" s="325" t="s">
        <v>436</v>
      </c>
      <c r="C13" s="330">
        <v>1</v>
      </c>
      <c r="D13" s="331" t="s">
        <v>287</v>
      </c>
      <c r="E13" s="538"/>
      <c r="F13" s="497" t="str">
        <f t="shared" si="0"/>
        <v xml:space="preserve"> </v>
      </c>
    </row>
    <row r="14" spans="1:6" s="332" customFormat="1" ht="25.5">
      <c r="A14" s="328" t="s">
        <v>433</v>
      </c>
      <c r="B14" s="325" t="s">
        <v>437</v>
      </c>
      <c r="C14" s="330">
        <v>1</v>
      </c>
      <c r="D14" s="331" t="s">
        <v>287</v>
      </c>
      <c r="E14" s="538"/>
      <c r="F14" s="497" t="str">
        <f t="shared" si="0"/>
        <v xml:space="preserve"> </v>
      </c>
    </row>
    <row r="15" spans="1:6" s="332" customFormat="1" ht="25.5">
      <c r="A15" s="328" t="s">
        <v>433</v>
      </c>
      <c r="B15" s="325" t="s">
        <v>438</v>
      </c>
      <c r="C15" s="330">
        <v>1</v>
      </c>
      <c r="D15" s="331" t="s">
        <v>287</v>
      </c>
      <c r="E15" s="538"/>
      <c r="F15" s="497" t="str">
        <f t="shared" si="0"/>
        <v xml:space="preserve"> </v>
      </c>
    </row>
    <row r="16" spans="1:6" s="332" customFormat="1" ht="25.5">
      <c r="A16" s="328" t="s">
        <v>433</v>
      </c>
      <c r="B16" s="325" t="s">
        <v>439</v>
      </c>
      <c r="C16" s="330">
        <v>10</v>
      </c>
      <c r="D16" s="331" t="s">
        <v>287</v>
      </c>
      <c r="E16" s="538"/>
      <c r="F16" s="497" t="str">
        <f t="shared" si="0"/>
        <v xml:space="preserve"> </v>
      </c>
    </row>
    <row r="17" spans="1:6" s="332" customFormat="1" ht="25.5">
      <c r="A17" s="328" t="s">
        <v>433</v>
      </c>
      <c r="B17" s="325" t="s">
        <v>440</v>
      </c>
      <c r="C17" s="330">
        <v>2</v>
      </c>
      <c r="D17" s="331" t="s">
        <v>287</v>
      </c>
      <c r="E17" s="538"/>
      <c r="F17" s="497" t="str">
        <f t="shared" si="0"/>
        <v xml:space="preserve"> </v>
      </c>
    </row>
    <row r="18" spans="1:6" s="332" customFormat="1" ht="25.5">
      <c r="A18" s="328" t="s">
        <v>433</v>
      </c>
      <c r="B18" s="325" t="s">
        <v>441</v>
      </c>
      <c r="C18" s="330">
        <v>2</v>
      </c>
      <c r="D18" s="331" t="s">
        <v>287</v>
      </c>
      <c r="E18" s="538"/>
      <c r="F18" s="497" t="str">
        <f t="shared" si="0"/>
        <v xml:space="preserve"> </v>
      </c>
    </row>
    <row r="19" spans="1:6" s="332" customFormat="1">
      <c r="A19" s="328" t="s">
        <v>433</v>
      </c>
      <c r="B19" s="333" t="s">
        <v>442</v>
      </c>
      <c r="C19" s="330">
        <v>2</v>
      </c>
      <c r="D19" s="331" t="s">
        <v>6</v>
      </c>
      <c r="E19" s="538"/>
      <c r="F19" s="497" t="str">
        <f t="shared" si="0"/>
        <v xml:space="preserve"> </v>
      </c>
    </row>
    <row r="20" spans="1:6" s="338" customFormat="1" ht="25.5">
      <c r="A20" s="334" t="s">
        <v>433</v>
      </c>
      <c r="B20" s="335" t="s">
        <v>443</v>
      </c>
      <c r="C20" s="336">
        <v>1</v>
      </c>
      <c r="D20" s="337" t="s">
        <v>6</v>
      </c>
      <c r="E20" s="538"/>
      <c r="F20" s="497" t="str">
        <f t="shared" si="0"/>
        <v xml:space="preserve"> </v>
      </c>
    </row>
    <row r="21" spans="1:6" s="304" customFormat="1" ht="25.5">
      <c r="A21" s="328" t="s">
        <v>433</v>
      </c>
      <c r="B21" s="325" t="s">
        <v>444</v>
      </c>
      <c r="C21" s="330">
        <v>1</v>
      </c>
      <c r="D21" s="331" t="s">
        <v>287</v>
      </c>
      <c r="E21" s="538"/>
      <c r="F21" s="497" t="str">
        <f t="shared" si="0"/>
        <v xml:space="preserve"> </v>
      </c>
    </row>
    <row r="22" spans="1:6" s="332" customFormat="1">
      <c r="A22" s="328" t="s">
        <v>433</v>
      </c>
      <c r="B22" s="325" t="s">
        <v>445</v>
      </c>
      <c r="C22" s="330">
        <v>2</v>
      </c>
      <c r="D22" s="331" t="s">
        <v>287</v>
      </c>
      <c r="E22" s="538"/>
      <c r="F22" s="497" t="str">
        <f t="shared" si="0"/>
        <v xml:space="preserve"> </v>
      </c>
    </row>
    <row r="23" spans="1:6" s="332" customFormat="1" ht="25.5">
      <c r="A23" s="328" t="s">
        <v>433</v>
      </c>
      <c r="B23" s="325" t="s">
        <v>446</v>
      </c>
      <c r="C23" s="330">
        <v>1</v>
      </c>
      <c r="D23" s="331" t="s">
        <v>287</v>
      </c>
      <c r="E23" s="538"/>
      <c r="F23" s="497" t="str">
        <f t="shared" si="0"/>
        <v xml:space="preserve"> </v>
      </c>
    </row>
    <row r="24" spans="1:6" s="332" customFormat="1">
      <c r="A24" s="328" t="s">
        <v>433</v>
      </c>
      <c r="B24" s="325" t="s">
        <v>447</v>
      </c>
      <c r="C24" s="330">
        <v>1</v>
      </c>
      <c r="D24" s="331" t="s">
        <v>287</v>
      </c>
      <c r="E24" s="538"/>
      <c r="F24" s="497" t="str">
        <f t="shared" si="0"/>
        <v xml:space="preserve"> </v>
      </c>
    </row>
    <row r="25" spans="1:6" s="332" customFormat="1">
      <c r="A25" s="328" t="s">
        <v>433</v>
      </c>
      <c r="B25" s="333" t="s">
        <v>448</v>
      </c>
      <c r="C25" s="330">
        <v>1</v>
      </c>
      <c r="D25" s="331" t="s">
        <v>287</v>
      </c>
      <c r="E25" s="538"/>
      <c r="F25" s="497" t="str">
        <f t="shared" si="0"/>
        <v xml:space="preserve"> </v>
      </c>
    </row>
    <row r="26" spans="1:6" s="332" customFormat="1">
      <c r="A26" s="328" t="s">
        <v>433</v>
      </c>
      <c r="B26" s="333" t="s">
        <v>449</v>
      </c>
      <c r="C26" s="330">
        <v>1</v>
      </c>
      <c r="D26" s="331" t="s">
        <v>287</v>
      </c>
      <c r="E26" s="538"/>
      <c r="F26" s="497" t="str">
        <f t="shared" si="0"/>
        <v xml:space="preserve"> </v>
      </c>
    </row>
    <row r="27" spans="1:6" s="332" customFormat="1">
      <c r="A27" s="328" t="s">
        <v>433</v>
      </c>
      <c r="B27" s="325" t="s">
        <v>450</v>
      </c>
      <c r="C27" s="330">
        <v>1</v>
      </c>
      <c r="D27" s="331" t="s">
        <v>287</v>
      </c>
      <c r="E27" s="538"/>
      <c r="F27" s="497" t="str">
        <f t="shared" si="0"/>
        <v xml:space="preserve"> </v>
      </c>
    </row>
    <row r="28" spans="1:6" s="332" customFormat="1">
      <c r="A28" s="328" t="s">
        <v>433</v>
      </c>
      <c r="B28" s="325" t="s">
        <v>451</v>
      </c>
      <c r="C28" s="330">
        <v>1</v>
      </c>
      <c r="D28" s="331" t="s">
        <v>287</v>
      </c>
      <c r="E28" s="538"/>
      <c r="F28" s="497" t="str">
        <f t="shared" si="0"/>
        <v xml:space="preserve"> </v>
      </c>
    </row>
    <row r="29" spans="1:6" s="332" customFormat="1">
      <c r="A29" s="328" t="s">
        <v>433</v>
      </c>
      <c r="B29" s="325" t="s">
        <v>452</v>
      </c>
      <c r="C29" s="330">
        <v>1</v>
      </c>
      <c r="D29" s="331" t="s">
        <v>287</v>
      </c>
      <c r="E29" s="538"/>
      <c r="F29" s="497" t="str">
        <f t="shared" si="0"/>
        <v xml:space="preserve"> </v>
      </c>
    </row>
    <row r="30" spans="1:6" s="332" customFormat="1" ht="38.25">
      <c r="A30" s="328" t="s">
        <v>433</v>
      </c>
      <c r="B30" s="325" t="s">
        <v>453</v>
      </c>
      <c r="C30" s="330">
        <v>1</v>
      </c>
      <c r="D30" s="331" t="s">
        <v>287</v>
      </c>
      <c r="E30" s="538"/>
      <c r="F30" s="497" t="str">
        <f t="shared" si="0"/>
        <v xml:space="preserve"> </v>
      </c>
    </row>
    <row r="31" spans="1:6" s="332" customFormat="1">
      <c r="A31" s="328" t="s">
        <v>433</v>
      </c>
      <c r="B31" s="325" t="s">
        <v>454</v>
      </c>
      <c r="C31" s="330">
        <v>1</v>
      </c>
      <c r="D31" s="331" t="s">
        <v>287</v>
      </c>
      <c r="E31" s="538"/>
      <c r="F31" s="497" t="str">
        <f t="shared" si="0"/>
        <v xml:space="preserve"> </v>
      </c>
    </row>
    <row r="32" spans="1:6" s="332" customFormat="1">
      <c r="A32" s="328" t="s">
        <v>433</v>
      </c>
      <c r="B32" s="325" t="s">
        <v>455</v>
      </c>
      <c r="C32" s="330">
        <v>1</v>
      </c>
      <c r="D32" s="331" t="s">
        <v>287</v>
      </c>
      <c r="E32" s="538"/>
      <c r="F32" s="497" t="str">
        <f t="shared" si="0"/>
        <v xml:space="preserve"> </v>
      </c>
    </row>
    <row r="33" spans="1:21" s="339" customFormat="1" ht="38.25">
      <c r="A33" s="322" t="s">
        <v>433</v>
      </c>
      <c r="B33" s="325" t="s">
        <v>456</v>
      </c>
      <c r="C33" s="330">
        <v>2</v>
      </c>
      <c r="D33" s="331" t="s">
        <v>287</v>
      </c>
      <c r="E33" s="538"/>
      <c r="F33" s="497" t="str">
        <f t="shared" si="0"/>
        <v xml:space="preserve"> </v>
      </c>
    </row>
    <row r="34" spans="1:21" s="332" customFormat="1">
      <c r="A34" s="328" t="s">
        <v>433</v>
      </c>
      <c r="B34" s="325" t="s">
        <v>457</v>
      </c>
      <c r="C34" s="330">
        <v>1</v>
      </c>
      <c r="D34" s="331" t="s">
        <v>287</v>
      </c>
      <c r="E34" s="538"/>
      <c r="F34" s="497" t="str">
        <f t="shared" si="0"/>
        <v xml:space="preserve"> </v>
      </c>
    </row>
    <row r="35" spans="1:21" s="345" customFormat="1" ht="25.5">
      <c r="A35" s="340" t="s">
        <v>433</v>
      </c>
      <c r="B35" s="341" t="s">
        <v>458</v>
      </c>
      <c r="C35" s="342">
        <v>1</v>
      </c>
      <c r="D35" s="343" t="s">
        <v>287</v>
      </c>
      <c r="E35" s="538"/>
      <c r="F35" s="497" t="str">
        <f t="shared" si="0"/>
        <v xml:space="preserve"> </v>
      </c>
      <c r="G35" s="344"/>
      <c r="H35" s="344"/>
      <c r="I35" s="344"/>
      <c r="J35" s="344"/>
      <c r="K35" s="344"/>
      <c r="L35" s="344"/>
      <c r="M35" s="344"/>
      <c r="N35" s="344"/>
      <c r="O35" s="344"/>
      <c r="P35" s="344"/>
      <c r="Q35" s="344"/>
      <c r="R35" s="344"/>
      <c r="S35" s="344"/>
      <c r="T35" s="344"/>
      <c r="U35" s="344"/>
    </row>
    <row r="36" spans="1:21" s="345" customFormat="1" ht="25.5">
      <c r="A36" s="340" t="s">
        <v>433</v>
      </c>
      <c r="B36" s="341" t="s">
        <v>459</v>
      </c>
      <c r="C36" s="342">
        <v>1</v>
      </c>
      <c r="D36" s="343" t="s">
        <v>287</v>
      </c>
      <c r="E36" s="538"/>
      <c r="F36" s="497" t="str">
        <f t="shared" si="0"/>
        <v xml:space="preserve"> </v>
      </c>
      <c r="G36" s="344"/>
      <c r="H36" s="344"/>
      <c r="I36" s="344"/>
      <c r="J36" s="344"/>
      <c r="K36" s="344"/>
      <c r="L36" s="344"/>
      <c r="M36" s="344"/>
      <c r="N36" s="344"/>
      <c r="O36" s="344"/>
      <c r="P36" s="344"/>
      <c r="Q36" s="344"/>
      <c r="R36" s="344"/>
      <c r="S36" s="344"/>
      <c r="T36" s="344"/>
      <c r="U36" s="344"/>
    </row>
    <row r="37" spans="1:21" s="345" customFormat="1" ht="15">
      <c r="A37" s="340" t="s">
        <v>433</v>
      </c>
      <c r="B37" s="341" t="s">
        <v>460</v>
      </c>
      <c r="C37" s="342">
        <v>2</v>
      </c>
      <c r="D37" s="343" t="s">
        <v>287</v>
      </c>
      <c r="E37" s="538"/>
      <c r="F37" s="497" t="str">
        <f t="shared" si="0"/>
        <v xml:space="preserve"> </v>
      </c>
      <c r="G37" s="344"/>
      <c r="H37" s="344"/>
      <c r="I37" s="344"/>
      <c r="J37" s="344"/>
      <c r="K37" s="344"/>
      <c r="L37" s="344"/>
      <c r="M37" s="344"/>
      <c r="N37" s="344"/>
      <c r="O37" s="344"/>
      <c r="P37" s="344"/>
      <c r="Q37" s="344"/>
      <c r="R37" s="344"/>
      <c r="S37" s="344"/>
      <c r="T37" s="344"/>
      <c r="U37" s="344"/>
    </row>
    <row r="38" spans="1:21" s="332" customFormat="1">
      <c r="A38" s="328" t="s">
        <v>433</v>
      </c>
      <c r="B38" s="325" t="s">
        <v>461</v>
      </c>
      <c r="C38" s="330">
        <v>1</v>
      </c>
      <c r="D38" s="331" t="s">
        <v>287</v>
      </c>
      <c r="E38" s="538"/>
      <c r="F38" s="497" t="str">
        <f t="shared" si="0"/>
        <v xml:space="preserve"> </v>
      </c>
    </row>
    <row r="39" spans="1:21" s="338" customFormat="1" ht="51">
      <c r="A39" s="328" t="s">
        <v>433</v>
      </c>
      <c r="B39" s="335" t="s">
        <v>462</v>
      </c>
      <c r="C39" s="346">
        <v>1</v>
      </c>
      <c r="D39" s="337" t="s">
        <v>6</v>
      </c>
      <c r="E39" s="538"/>
      <c r="F39" s="497" t="str">
        <f t="shared" si="0"/>
        <v xml:space="preserve"> </v>
      </c>
    </row>
    <row r="40" spans="1:21" s="339" customFormat="1" ht="25.5">
      <c r="A40" s="322" t="s">
        <v>433</v>
      </c>
      <c r="B40" s="325" t="s">
        <v>463</v>
      </c>
      <c r="C40" s="330">
        <v>7</v>
      </c>
      <c r="D40" s="331" t="s">
        <v>287</v>
      </c>
      <c r="E40" s="538"/>
      <c r="F40" s="497" t="str">
        <f t="shared" si="0"/>
        <v xml:space="preserve"> </v>
      </c>
    </row>
    <row r="41" spans="1:21" s="332" customFormat="1" ht="25.5">
      <c r="A41" s="328" t="s">
        <v>433</v>
      </c>
      <c r="B41" s="325" t="s">
        <v>464</v>
      </c>
      <c r="C41" s="330">
        <v>6</v>
      </c>
      <c r="D41" s="331" t="s">
        <v>287</v>
      </c>
      <c r="E41" s="538"/>
      <c r="F41" s="497" t="str">
        <f t="shared" si="0"/>
        <v xml:space="preserve"> </v>
      </c>
    </row>
    <row r="42" spans="1:21" s="332" customFormat="1">
      <c r="A42" s="328" t="s">
        <v>433</v>
      </c>
      <c r="B42" s="325" t="s">
        <v>465</v>
      </c>
      <c r="C42" s="330">
        <v>1</v>
      </c>
      <c r="D42" s="331" t="s">
        <v>287</v>
      </c>
      <c r="E42" s="538"/>
      <c r="F42" s="497" t="str">
        <f t="shared" si="0"/>
        <v xml:space="preserve"> </v>
      </c>
    </row>
    <row r="43" spans="1:21" s="332" customFormat="1">
      <c r="A43" s="328" t="s">
        <v>433</v>
      </c>
      <c r="B43" s="325" t="s">
        <v>466</v>
      </c>
      <c r="C43" s="330">
        <v>1</v>
      </c>
      <c r="D43" s="331" t="s">
        <v>287</v>
      </c>
      <c r="E43" s="538"/>
      <c r="F43" s="497" t="str">
        <f t="shared" si="0"/>
        <v xml:space="preserve"> </v>
      </c>
    </row>
    <row r="44" spans="1:21" s="332" customFormat="1">
      <c r="A44" s="328" t="s">
        <v>433</v>
      </c>
      <c r="B44" s="325" t="s">
        <v>467</v>
      </c>
      <c r="C44" s="330">
        <v>1</v>
      </c>
      <c r="D44" s="331" t="s">
        <v>287</v>
      </c>
      <c r="E44" s="538"/>
      <c r="F44" s="497" t="str">
        <f t="shared" si="0"/>
        <v xml:space="preserve"> </v>
      </c>
    </row>
    <row r="45" spans="1:21" s="343" customFormat="1">
      <c r="A45" s="340"/>
      <c r="B45" s="341" t="s">
        <v>468</v>
      </c>
      <c r="C45" s="347"/>
      <c r="D45" s="348"/>
      <c r="E45" s="538"/>
      <c r="F45" s="497" t="str">
        <f t="shared" si="0"/>
        <v xml:space="preserve"> </v>
      </c>
    </row>
    <row r="46" spans="1:21" s="343" customFormat="1" ht="25.5">
      <c r="A46" s="322" t="s">
        <v>433</v>
      </c>
      <c r="B46" s="349" t="s">
        <v>469</v>
      </c>
      <c r="C46" s="347">
        <v>1</v>
      </c>
      <c r="D46" s="348" t="s">
        <v>287</v>
      </c>
      <c r="E46" s="538"/>
      <c r="F46" s="497" t="str">
        <f t="shared" si="0"/>
        <v xml:space="preserve"> </v>
      </c>
      <c r="G46" s="350"/>
    </row>
    <row r="47" spans="1:21" s="343" customFormat="1">
      <c r="A47" s="322" t="s">
        <v>433</v>
      </c>
      <c r="B47" s="351" t="s">
        <v>470</v>
      </c>
      <c r="C47" s="347">
        <v>1</v>
      </c>
      <c r="D47" s="348" t="s">
        <v>287</v>
      </c>
      <c r="E47" s="538"/>
      <c r="F47" s="497" t="str">
        <f t="shared" si="0"/>
        <v xml:space="preserve"> </v>
      </c>
    </row>
    <row r="48" spans="1:21" s="343" customFormat="1" ht="25.5">
      <c r="A48" s="322" t="s">
        <v>433</v>
      </c>
      <c r="B48" s="351" t="s">
        <v>471</v>
      </c>
      <c r="C48" s="347">
        <v>1</v>
      </c>
      <c r="D48" s="348" t="s">
        <v>287</v>
      </c>
      <c r="E48" s="538"/>
      <c r="F48" s="497" t="str">
        <f t="shared" si="0"/>
        <v xml:space="preserve"> </v>
      </c>
    </row>
    <row r="49" spans="1:8" s="343" customFormat="1">
      <c r="A49" s="322" t="s">
        <v>433</v>
      </c>
      <c r="B49" s="351" t="s">
        <v>472</v>
      </c>
      <c r="C49" s="347">
        <v>1</v>
      </c>
      <c r="D49" s="348" t="s">
        <v>287</v>
      </c>
      <c r="E49" s="538"/>
      <c r="F49" s="497" t="str">
        <f t="shared" si="0"/>
        <v xml:space="preserve"> </v>
      </c>
    </row>
    <row r="50" spans="1:8" s="343" customFormat="1" ht="63.75">
      <c r="A50" s="352" t="s">
        <v>433</v>
      </c>
      <c r="B50" s="353" t="s">
        <v>473</v>
      </c>
      <c r="C50" s="354">
        <v>1</v>
      </c>
      <c r="D50" s="354" t="s">
        <v>254</v>
      </c>
      <c r="E50" s="538"/>
      <c r="F50" s="497" t="str">
        <f t="shared" si="0"/>
        <v xml:space="preserve"> </v>
      </c>
      <c r="G50" s="350"/>
      <c r="H50" s="355"/>
    </row>
    <row r="51" spans="1:8" s="339" customFormat="1" ht="27" customHeight="1">
      <c r="A51" s="322" t="s">
        <v>433</v>
      </c>
      <c r="B51" s="325" t="s">
        <v>474</v>
      </c>
      <c r="C51" s="330">
        <v>1</v>
      </c>
      <c r="D51" s="331" t="s">
        <v>254</v>
      </c>
      <c r="E51" s="538"/>
      <c r="F51" s="497" t="str">
        <f t="shared" si="0"/>
        <v xml:space="preserve"> </v>
      </c>
    </row>
    <row r="52" spans="1:8" s="343" customFormat="1" ht="25.5">
      <c r="A52" s="356" t="s">
        <v>433</v>
      </c>
      <c r="B52" s="339" t="s">
        <v>475</v>
      </c>
      <c r="C52" s="347">
        <v>1</v>
      </c>
      <c r="D52" s="348" t="s">
        <v>254</v>
      </c>
      <c r="E52" s="538"/>
      <c r="F52" s="497" t="str">
        <f t="shared" si="0"/>
        <v xml:space="preserve"> </v>
      </c>
    </row>
    <row r="53" spans="1:8" s="343" customFormat="1" ht="25.5">
      <c r="A53" s="352" t="s">
        <v>433</v>
      </c>
      <c r="B53" s="353" t="s">
        <v>476</v>
      </c>
      <c r="C53" s="354">
        <v>1</v>
      </c>
      <c r="D53" s="354" t="s">
        <v>254</v>
      </c>
      <c r="E53" s="538"/>
      <c r="F53" s="497" t="str">
        <f t="shared" si="0"/>
        <v xml:space="preserve"> </v>
      </c>
      <c r="G53" s="355"/>
      <c r="H53" s="355"/>
    </row>
    <row r="54" spans="1:8" s="343" customFormat="1" ht="25.5">
      <c r="A54" s="322" t="s">
        <v>433</v>
      </c>
      <c r="B54" s="339" t="s">
        <v>477</v>
      </c>
      <c r="C54" s="347">
        <v>1</v>
      </c>
      <c r="D54" s="348" t="s">
        <v>287</v>
      </c>
      <c r="E54" s="538"/>
      <c r="F54" s="497" t="str">
        <f t="shared" si="0"/>
        <v xml:space="preserve"> </v>
      </c>
    </row>
    <row r="55" spans="1:8" s="343" customFormat="1" ht="38.25">
      <c r="A55" s="322" t="s">
        <v>433</v>
      </c>
      <c r="B55" s="339" t="s">
        <v>478</v>
      </c>
      <c r="C55" s="347">
        <v>1</v>
      </c>
      <c r="D55" s="348" t="s">
        <v>287</v>
      </c>
      <c r="E55" s="538"/>
      <c r="F55" s="497" t="str">
        <f t="shared" si="0"/>
        <v xml:space="preserve"> </v>
      </c>
    </row>
    <row r="56" spans="1:8" s="343" customFormat="1">
      <c r="A56" s="322" t="s">
        <v>433</v>
      </c>
      <c r="B56" s="339" t="s">
        <v>479</v>
      </c>
      <c r="C56" s="347">
        <v>1</v>
      </c>
      <c r="D56" s="348" t="s">
        <v>287</v>
      </c>
      <c r="E56" s="538"/>
      <c r="F56" s="497" t="str">
        <f t="shared" si="0"/>
        <v xml:space="preserve"> </v>
      </c>
    </row>
    <row r="57" spans="1:8" s="332" customFormat="1">
      <c r="A57" s="328" t="s">
        <v>433</v>
      </c>
      <c r="B57" s="325" t="s">
        <v>480</v>
      </c>
      <c r="C57" s="330">
        <v>8</v>
      </c>
      <c r="D57" s="331" t="s">
        <v>287</v>
      </c>
      <c r="E57" s="538"/>
      <c r="F57" s="497" t="str">
        <f t="shared" si="0"/>
        <v xml:space="preserve"> </v>
      </c>
    </row>
    <row r="58" spans="1:8" s="332" customFormat="1">
      <c r="A58" s="328" t="s">
        <v>433</v>
      </c>
      <c r="B58" s="325" t="s">
        <v>481</v>
      </c>
      <c r="C58" s="330">
        <v>8</v>
      </c>
      <c r="D58" s="331" t="s">
        <v>287</v>
      </c>
      <c r="E58" s="538"/>
      <c r="F58" s="497" t="str">
        <f t="shared" si="0"/>
        <v xml:space="preserve"> </v>
      </c>
    </row>
    <row r="59" spans="1:8" s="332" customFormat="1">
      <c r="A59" s="328" t="s">
        <v>433</v>
      </c>
      <c r="B59" s="325" t="s">
        <v>482</v>
      </c>
      <c r="C59" s="330">
        <v>40</v>
      </c>
      <c r="D59" s="331" t="s">
        <v>287</v>
      </c>
      <c r="E59" s="538"/>
      <c r="F59" s="497" t="str">
        <f t="shared" si="0"/>
        <v xml:space="preserve"> </v>
      </c>
    </row>
    <row r="60" spans="1:8" s="361" customFormat="1">
      <c r="A60" s="357" t="s">
        <v>433</v>
      </c>
      <c r="B60" s="358" t="s">
        <v>483</v>
      </c>
      <c r="C60" s="359">
        <v>2</v>
      </c>
      <c r="D60" s="360" t="s">
        <v>9</v>
      </c>
      <c r="E60" s="538"/>
      <c r="F60" s="497" t="str">
        <f t="shared" si="0"/>
        <v xml:space="preserve"> </v>
      </c>
    </row>
    <row r="61" spans="1:8" s="332" customFormat="1">
      <c r="A61" s="328" t="s">
        <v>433</v>
      </c>
      <c r="B61" s="325" t="s">
        <v>484</v>
      </c>
      <c r="C61" s="330">
        <v>1</v>
      </c>
      <c r="D61" s="331" t="s">
        <v>254</v>
      </c>
      <c r="E61" s="540"/>
      <c r="F61" s="497" t="str">
        <f t="shared" si="0"/>
        <v xml:space="preserve"> </v>
      </c>
    </row>
    <row r="62" spans="1:8" s="332" customFormat="1">
      <c r="A62" s="328"/>
      <c r="B62" s="325"/>
      <c r="C62" s="330"/>
      <c r="D62" s="331"/>
      <c r="E62" s="498"/>
      <c r="F62" s="496" t="s">
        <v>485</v>
      </c>
    </row>
    <row r="63" spans="1:8" s="304" customFormat="1">
      <c r="A63" s="328"/>
      <c r="B63" s="362" t="s">
        <v>486</v>
      </c>
      <c r="C63" s="363"/>
      <c r="D63" s="364"/>
      <c r="E63" s="539"/>
      <c r="F63" s="500">
        <f>SUM(F11:F61)</f>
        <v>0</v>
      </c>
    </row>
    <row r="64" spans="1:8" s="304" customFormat="1">
      <c r="A64" s="328"/>
      <c r="B64" s="323"/>
      <c r="C64" s="365"/>
      <c r="D64" s="331"/>
      <c r="E64" s="501" t="str">
        <f>IF(AND(ISNUMBER(#REF!),ISNUMBER(#REF!)),ROUND((#REF!*#REF!+#REF!*#REF!*#REF!)*(1+#REF!)*#REF!*#REF!*#REF!,2)," ")</f>
        <v xml:space="preserve"> </v>
      </c>
      <c r="F64" s="501"/>
    </row>
    <row r="65" spans="1:6" s="304" customFormat="1">
      <c r="A65" s="362" t="s">
        <v>487</v>
      </c>
      <c r="B65" s="366" t="s">
        <v>488</v>
      </c>
      <c r="C65" s="365"/>
      <c r="D65" s="331"/>
      <c r="E65" s="501" t="str">
        <f>IF(AND(ISNUMBER(#REF!),ISNUMBER(#REF!)),ROUND((#REF!*#REF!+#REF!*#REF!*#REF!)*(1+#REF!)*#REF!*#REF!*#REF!,2)," ")</f>
        <v xml:space="preserve"> </v>
      </c>
      <c r="F65" s="501"/>
    </row>
    <row r="66" spans="1:6" s="304" customFormat="1">
      <c r="A66" s="322"/>
      <c r="B66" s="323" t="s">
        <v>432</v>
      </c>
      <c r="C66" s="365"/>
      <c r="D66" s="331"/>
      <c r="E66" s="501" t="str">
        <f>IF(AND(ISNUMBER(#REF!),ISNUMBER(#REF!)),ROUND((#REF!*#REF!+#REF!*#REF!*#REF!)*(1+#REF!)*#REF!*#REF!*#REF!,2)," ")</f>
        <v xml:space="preserve"> </v>
      </c>
      <c r="F66" s="501"/>
    </row>
    <row r="67" spans="1:6" s="304" customFormat="1">
      <c r="A67" s="322"/>
      <c r="B67" s="323"/>
      <c r="C67" s="365"/>
      <c r="D67" s="331"/>
      <c r="E67" s="501"/>
      <c r="F67" s="501"/>
    </row>
    <row r="68" spans="1:6" s="371" customFormat="1">
      <c r="A68" s="367" t="s">
        <v>433</v>
      </c>
      <c r="B68" s="368" t="s">
        <v>489</v>
      </c>
      <c r="C68" s="369">
        <v>5</v>
      </c>
      <c r="D68" s="370" t="s">
        <v>9</v>
      </c>
      <c r="E68" s="538"/>
      <c r="F68" s="497" t="str">
        <f t="shared" ref="F68:F72" si="1">IF(AND(ISNUMBER(C68),ISNUMBER(E68)),C68*E68," ")</f>
        <v xml:space="preserve"> </v>
      </c>
    </row>
    <row r="69" spans="1:6" s="371" customFormat="1">
      <c r="A69" s="367" t="s">
        <v>433</v>
      </c>
      <c r="B69" s="368" t="s">
        <v>490</v>
      </c>
      <c r="C69" s="369">
        <v>2</v>
      </c>
      <c r="D69" s="370" t="s">
        <v>9</v>
      </c>
      <c r="E69" s="538"/>
      <c r="F69" s="497" t="str">
        <f t="shared" si="1"/>
        <v xml:space="preserve"> </v>
      </c>
    </row>
    <row r="70" spans="1:6" s="304" customFormat="1">
      <c r="A70" s="367" t="s">
        <v>433</v>
      </c>
      <c r="B70" s="325" t="s">
        <v>491</v>
      </c>
      <c r="C70" s="365">
        <v>40</v>
      </c>
      <c r="D70" s="372" t="s">
        <v>9</v>
      </c>
      <c r="E70" s="538"/>
      <c r="F70" s="497" t="str">
        <f t="shared" si="1"/>
        <v xml:space="preserve"> </v>
      </c>
    </row>
    <row r="71" spans="1:6" s="304" customFormat="1">
      <c r="A71" s="367" t="s">
        <v>433</v>
      </c>
      <c r="B71" s="325" t="s">
        <v>492</v>
      </c>
      <c r="C71" s="365">
        <v>30</v>
      </c>
      <c r="D71" s="372" t="s">
        <v>9</v>
      </c>
      <c r="E71" s="538"/>
      <c r="F71" s="497" t="str">
        <f t="shared" si="1"/>
        <v xml:space="preserve"> </v>
      </c>
    </row>
    <row r="72" spans="1:6" s="304" customFormat="1">
      <c r="A72" s="367" t="s">
        <v>433</v>
      </c>
      <c r="B72" s="325" t="s">
        <v>493</v>
      </c>
      <c r="C72" s="365">
        <v>40</v>
      </c>
      <c r="D72" s="372" t="s">
        <v>9</v>
      </c>
      <c r="E72" s="538"/>
      <c r="F72" s="497" t="str">
        <f t="shared" si="1"/>
        <v xml:space="preserve"> </v>
      </c>
    </row>
    <row r="73" spans="1:6" s="304" customFormat="1">
      <c r="A73" s="328"/>
      <c r="B73" s="323"/>
      <c r="C73" s="365"/>
      <c r="D73" s="331"/>
      <c r="E73" s="501"/>
      <c r="F73" s="501"/>
    </row>
    <row r="74" spans="1:6" s="304" customFormat="1">
      <c r="A74" s="328"/>
      <c r="B74" s="362" t="s">
        <v>494</v>
      </c>
      <c r="C74" s="363"/>
      <c r="D74" s="364"/>
      <c r="E74" s="539"/>
      <c r="F74" s="499">
        <f>SUM(F68:F72)</f>
        <v>0</v>
      </c>
    </row>
    <row r="75" spans="1:6" s="304" customFormat="1">
      <c r="A75" s="328"/>
      <c r="B75" s="362"/>
      <c r="C75" s="363"/>
      <c r="D75" s="364"/>
      <c r="E75" s="499"/>
      <c r="F75" s="499"/>
    </row>
    <row r="76" spans="1:6" s="304" customFormat="1">
      <c r="A76" s="328"/>
      <c r="B76" s="323"/>
      <c r="C76" s="365"/>
      <c r="D76" s="331"/>
      <c r="E76" s="501"/>
      <c r="F76" s="501"/>
    </row>
    <row r="77" spans="1:6" s="304" customFormat="1">
      <c r="A77" s="362" t="s">
        <v>495</v>
      </c>
      <c r="B77" s="373" t="s">
        <v>496</v>
      </c>
      <c r="C77" s="365"/>
      <c r="D77" s="331"/>
      <c r="E77" s="501"/>
      <c r="F77" s="501"/>
    </row>
    <row r="78" spans="1:6" s="304" customFormat="1">
      <c r="A78" s="322"/>
      <c r="B78" s="323" t="s">
        <v>432</v>
      </c>
      <c r="C78" s="365"/>
      <c r="D78" s="331"/>
      <c r="E78" s="501"/>
      <c r="F78" s="501"/>
    </row>
    <row r="79" spans="1:6" s="304" customFormat="1">
      <c r="A79" s="322"/>
      <c r="B79" s="323"/>
      <c r="C79" s="365"/>
      <c r="D79" s="331"/>
      <c r="E79" s="501"/>
      <c r="F79" s="501"/>
    </row>
    <row r="80" spans="1:6" s="375" customFormat="1">
      <c r="A80" s="374" t="s">
        <v>433</v>
      </c>
      <c r="B80" s="375" t="s">
        <v>497</v>
      </c>
      <c r="C80" s="346">
        <v>15</v>
      </c>
      <c r="D80" s="372" t="s">
        <v>9</v>
      </c>
      <c r="E80" s="538"/>
      <c r="F80" s="497" t="str">
        <f t="shared" ref="F80:F101" si="2">IF(AND(ISNUMBER(C80),ISNUMBER(E80)),C80*E80," ")</f>
        <v xml:space="preserve"> </v>
      </c>
    </row>
    <row r="81" spans="1:8" s="375" customFormat="1">
      <c r="A81" s="374" t="s">
        <v>433</v>
      </c>
      <c r="B81" s="375" t="s">
        <v>498</v>
      </c>
      <c r="C81" s="346">
        <v>10</v>
      </c>
      <c r="D81" s="372" t="s">
        <v>9</v>
      </c>
      <c r="E81" s="538"/>
      <c r="F81" s="497" t="str">
        <f t="shared" si="2"/>
        <v xml:space="preserve"> </v>
      </c>
    </row>
    <row r="82" spans="1:8" s="304" customFormat="1" ht="25.5">
      <c r="A82" s="352" t="s">
        <v>433</v>
      </c>
      <c r="B82" s="353" t="s">
        <v>499</v>
      </c>
      <c r="C82" s="354">
        <v>1</v>
      </c>
      <c r="D82" s="354" t="s">
        <v>287</v>
      </c>
      <c r="E82" s="538"/>
      <c r="F82" s="497" t="str">
        <f t="shared" si="2"/>
        <v xml:space="preserve"> </v>
      </c>
      <c r="G82" s="355"/>
      <c r="H82" s="355"/>
    </row>
    <row r="83" spans="1:8" s="304" customFormat="1" ht="25.5">
      <c r="A83" s="352" t="s">
        <v>433</v>
      </c>
      <c r="B83" s="353" t="s">
        <v>500</v>
      </c>
      <c r="C83" s="354">
        <v>1</v>
      </c>
      <c r="D83" s="354" t="s">
        <v>287</v>
      </c>
      <c r="E83" s="538"/>
      <c r="F83" s="497" t="str">
        <f t="shared" si="2"/>
        <v xml:space="preserve"> </v>
      </c>
      <c r="G83" s="355"/>
      <c r="H83" s="355"/>
    </row>
    <row r="84" spans="1:8" s="304" customFormat="1">
      <c r="A84" s="352" t="s">
        <v>433</v>
      </c>
      <c r="B84" s="353" t="s">
        <v>501</v>
      </c>
      <c r="C84" s="354">
        <v>2</v>
      </c>
      <c r="D84" s="354" t="s">
        <v>287</v>
      </c>
      <c r="E84" s="538"/>
      <c r="F84" s="497" t="str">
        <f t="shared" si="2"/>
        <v xml:space="preserve"> </v>
      </c>
      <c r="G84" s="355"/>
      <c r="H84" s="355"/>
    </row>
    <row r="85" spans="1:8" s="304" customFormat="1" ht="25.5">
      <c r="A85" s="352" t="s">
        <v>433</v>
      </c>
      <c r="B85" s="353" t="s">
        <v>502</v>
      </c>
      <c r="C85" s="354">
        <v>4</v>
      </c>
      <c r="D85" s="354" t="s">
        <v>287</v>
      </c>
      <c r="E85" s="538"/>
      <c r="F85" s="497" t="str">
        <f t="shared" si="2"/>
        <v xml:space="preserve"> </v>
      </c>
      <c r="G85" s="355"/>
      <c r="H85" s="355"/>
    </row>
    <row r="86" spans="1:8" s="304" customFormat="1" ht="25.5">
      <c r="A86" s="352" t="s">
        <v>433</v>
      </c>
      <c r="B86" s="353" t="s">
        <v>503</v>
      </c>
      <c r="C86" s="354">
        <v>3</v>
      </c>
      <c r="D86" s="354" t="s">
        <v>9</v>
      </c>
      <c r="E86" s="538"/>
      <c r="F86" s="497" t="str">
        <f t="shared" si="2"/>
        <v xml:space="preserve"> </v>
      </c>
      <c r="G86" s="355"/>
      <c r="H86" s="355"/>
    </row>
    <row r="87" spans="1:8" s="304" customFormat="1" ht="25.5">
      <c r="A87" s="352" t="s">
        <v>433</v>
      </c>
      <c r="B87" s="353" t="s">
        <v>504</v>
      </c>
      <c r="C87" s="354">
        <v>3</v>
      </c>
      <c r="D87" s="354" t="s">
        <v>9</v>
      </c>
      <c r="E87" s="538"/>
      <c r="F87" s="497" t="str">
        <f t="shared" si="2"/>
        <v xml:space="preserve"> </v>
      </c>
      <c r="G87" s="355"/>
      <c r="H87" s="355"/>
    </row>
    <row r="88" spans="1:8" s="304" customFormat="1" ht="25.5">
      <c r="A88" s="352" t="s">
        <v>433</v>
      </c>
      <c r="B88" s="353" t="s">
        <v>505</v>
      </c>
      <c r="C88" s="354">
        <v>4</v>
      </c>
      <c r="D88" s="354" t="s">
        <v>9</v>
      </c>
      <c r="E88" s="538"/>
      <c r="F88" s="497" t="str">
        <f t="shared" si="2"/>
        <v xml:space="preserve"> </v>
      </c>
      <c r="G88" s="355"/>
      <c r="H88" s="355"/>
    </row>
    <row r="89" spans="1:8" s="304" customFormat="1">
      <c r="A89" s="352" t="s">
        <v>433</v>
      </c>
      <c r="B89" s="353" t="s">
        <v>506</v>
      </c>
      <c r="C89" s="354">
        <v>1</v>
      </c>
      <c r="D89" s="354" t="s">
        <v>287</v>
      </c>
      <c r="E89" s="538"/>
      <c r="F89" s="497" t="str">
        <f t="shared" si="2"/>
        <v xml:space="preserve"> </v>
      </c>
      <c r="G89" s="355"/>
      <c r="H89" s="355"/>
    </row>
    <row r="90" spans="1:8" s="304" customFormat="1">
      <c r="A90" s="352" t="s">
        <v>433</v>
      </c>
      <c r="B90" s="353" t="s">
        <v>507</v>
      </c>
      <c r="C90" s="354">
        <v>90</v>
      </c>
      <c r="D90" s="354" t="s">
        <v>9</v>
      </c>
      <c r="E90" s="538"/>
      <c r="F90" s="497" t="str">
        <f t="shared" si="2"/>
        <v xml:space="preserve"> </v>
      </c>
      <c r="G90" s="355"/>
      <c r="H90" s="355"/>
    </row>
    <row r="91" spans="1:8" s="304" customFormat="1">
      <c r="A91" s="352" t="s">
        <v>433</v>
      </c>
      <c r="B91" s="353" t="s">
        <v>508</v>
      </c>
      <c r="C91" s="354">
        <v>10</v>
      </c>
      <c r="D91" s="354" t="s">
        <v>254</v>
      </c>
      <c r="E91" s="538"/>
      <c r="F91" s="497" t="str">
        <f t="shared" si="2"/>
        <v xml:space="preserve"> </v>
      </c>
      <c r="G91" s="355"/>
      <c r="H91" s="355"/>
    </row>
    <row r="92" spans="1:8" s="371" customFormat="1">
      <c r="A92" s="367" t="s">
        <v>433</v>
      </c>
      <c r="B92" s="353" t="s">
        <v>509</v>
      </c>
      <c r="C92" s="369">
        <v>1</v>
      </c>
      <c r="D92" s="370" t="s">
        <v>287</v>
      </c>
      <c r="E92" s="538"/>
      <c r="F92" s="497" t="str">
        <f t="shared" si="2"/>
        <v xml:space="preserve"> </v>
      </c>
    </row>
    <row r="93" spans="1:8" s="304" customFormat="1">
      <c r="A93" s="367" t="s">
        <v>433</v>
      </c>
      <c r="B93" s="325" t="s">
        <v>510</v>
      </c>
      <c r="C93" s="365">
        <v>20</v>
      </c>
      <c r="D93" s="372" t="s">
        <v>287</v>
      </c>
      <c r="E93" s="538"/>
      <c r="F93" s="497" t="str">
        <f t="shared" si="2"/>
        <v xml:space="preserve"> </v>
      </c>
    </row>
    <row r="94" spans="1:8" s="304" customFormat="1" ht="25.5">
      <c r="A94" s="367" t="s">
        <v>433</v>
      </c>
      <c r="B94" s="376" t="s">
        <v>511</v>
      </c>
      <c r="C94" s="377">
        <v>20</v>
      </c>
      <c r="D94" s="377" t="s">
        <v>287</v>
      </c>
      <c r="E94" s="538"/>
      <c r="F94" s="497" t="str">
        <f t="shared" si="2"/>
        <v xml:space="preserve"> </v>
      </c>
      <c r="G94" s="377"/>
    </row>
    <row r="95" spans="1:8" s="304" customFormat="1">
      <c r="A95" s="367" t="s">
        <v>433</v>
      </c>
      <c r="B95" s="325" t="s">
        <v>512</v>
      </c>
      <c r="C95" s="365">
        <v>1</v>
      </c>
      <c r="D95" s="372" t="s">
        <v>344</v>
      </c>
      <c r="E95" s="538"/>
      <c r="F95" s="497" t="str">
        <f t="shared" si="2"/>
        <v xml:space="preserve"> </v>
      </c>
    </row>
    <row r="96" spans="1:8" s="304" customFormat="1" ht="25.5">
      <c r="A96" s="367" t="s">
        <v>433</v>
      </c>
      <c r="B96" s="375" t="s">
        <v>513</v>
      </c>
      <c r="C96" s="365">
        <v>10</v>
      </c>
      <c r="D96" s="372" t="s">
        <v>287</v>
      </c>
      <c r="E96" s="538"/>
      <c r="F96" s="497" t="str">
        <f t="shared" si="2"/>
        <v xml:space="preserve"> </v>
      </c>
    </row>
    <row r="97" spans="1:8" s="304" customFormat="1" ht="25.5">
      <c r="A97" s="367" t="s">
        <v>433</v>
      </c>
      <c r="B97" s="375" t="s">
        <v>514</v>
      </c>
      <c r="C97" s="365">
        <v>6</v>
      </c>
      <c r="D97" s="372" t="s">
        <v>287</v>
      </c>
      <c r="E97" s="538"/>
      <c r="F97" s="497" t="str">
        <f t="shared" si="2"/>
        <v xml:space="preserve"> </v>
      </c>
    </row>
    <row r="98" spans="1:8" s="304" customFormat="1" ht="25.5">
      <c r="A98" s="352" t="s">
        <v>433</v>
      </c>
      <c r="B98" s="353" t="s">
        <v>515</v>
      </c>
      <c r="C98" s="354">
        <v>1</v>
      </c>
      <c r="D98" s="354" t="s">
        <v>6</v>
      </c>
      <c r="E98" s="538"/>
      <c r="F98" s="497" t="str">
        <f t="shared" si="2"/>
        <v xml:space="preserve"> </v>
      </c>
      <c r="G98" s="355"/>
      <c r="H98" s="355"/>
    </row>
    <row r="99" spans="1:8" s="343" customFormat="1" ht="49.5" customHeight="1">
      <c r="A99" s="328" t="s">
        <v>433</v>
      </c>
      <c r="B99" s="339" t="s">
        <v>516</v>
      </c>
      <c r="C99" s="347">
        <v>1</v>
      </c>
      <c r="D99" s="348" t="s">
        <v>254</v>
      </c>
      <c r="E99" s="538"/>
      <c r="F99" s="497" t="str">
        <f t="shared" si="2"/>
        <v xml:space="preserve"> </v>
      </c>
    </row>
    <row r="100" spans="1:8" s="343" customFormat="1">
      <c r="A100" s="328" t="s">
        <v>433</v>
      </c>
      <c r="B100" s="339" t="s">
        <v>517</v>
      </c>
      <c r="C100" s="347">
        <v>2</v>
      </c>
      <c r="D100" s="348" t="s">
        <v>254</v>
      </c>
      <c r="E100" s="538"/>
      <c r="F100" s="497" t="str">
        <f t="shared" si="2"/>
        <v xml:space="preserve"> </v>
      </c>
    </row>
    <row r="101" spans="1:8" s="304" customFormat="1">
      <c r="A101" s="367" t="s">
        <v>433</v>
      </c>
      <c r="B101" s="325" t="s">
        <v>518</v>
      </c>
      <c r="C101" s="365">
        <v>1</v>
      </c>
      <c r="D101" s="372" t="s">
        <v>254</v>
      </c>
      <c r="E101" s="541"/>
      <c r="F101" s="497" t="str">
        <f t="shared" si="2"/>
        <v xml:space="preserve"> </v>
      </c>
    </row>
    <row r="102" spans="1:8" s="304" customFormat="1">
      <c r="A102" s="328"/>
      <c r="B102" s="323"/>
      <c r="C102" s="365"/>
      <c r="D102" s="331"/>
      <c r="E102" s="501"/>
      <c r="F102" s="501"/>
    </row>
    <row r="103" spans="1:8" s="304" customFormat="1">
      <c r="A103" s="322"/>
      <c r="B103" s="362" t="s">
        <v>519</v>
      </c>
      <c r="C103" s="363"/>
      <c r="D103" s="364"/>
      <c r="E103" s="539"/>
      <c r="F103" s="499">
        <f>SUM(F80:F101)</f>
        <v>0</v>
      </c>
    </row>
    <row r="104" spans="1:8" s="304" customFormat="1">
      <c r="A104" s="322"/>
      <c r="B104" s="362"/>
      <c r="C104" s="363"/>
      <c r="D104" s="364"/>
      <c r="E104" s="499"/>
      <c r="F104" s="499"/>
    </row>
    <row r="105" spans="1:8" s="304" customFormat="1">
      <c r="A105" s="322"/>
      <c r="B105" s="362"/>
      <c r="C105" s="363"/>
      <c r="D105" s="364"/>
      <c r="E105" s="499"/>
      <c r="F105" s="499"/>
    </row>
    <row r="106" spans="1:8" s="382" customFormat="1">
      <c r="A106" s="378" t="s">
        <v>520</v>
      </c>
      <c r="B106" s="379" t="s">
        <v>521</v>
      </c>
      <c r="C106" s="380"/>
      <c r="D106" s="381"/>
      <c r="E106" s="501" t="str">
        <f>IF(AND(ISNUMBER(#REF!),ISNUMBER(#REF!)),ROUND((#REF!*#REF!+#REF!*#REF!*#REF!)*#REF!*#REF!,0)," ")</f>
        <v xml:space="preserve"> </v>
      </c>
      <c r="F106" s="501"/>
    </row>
    <row r="107" spans="1:8" s="382" customFormat="1">
      <c r="A107" s="378"/>
      <c r="B107" s="379"/>
      <c r="C107" s="380"/>
      <c r="D107" s="381"/>
      <c r="E107" s="501"/>
      <c r="F107" s="501"/>
    </row>
    <row r="108" spans="1:8" s="304" customFormat="1">
      <c r="A108" s="383" t="s">
        <v>433</v>
      </c>
      <c r="B108" s="375" t="s">
        <v>522</v>
      </c>
      <c r="C108" s="369">
        <v>1</v>
      </c>
      <c r="D108" s="384" t="s">
        <v>254</v>
      </c>
      <c r="E108" s="538"/>
      <c r="F108" s="497" t="str">
        <f t="shared" ref="F108:F112" si="3">IF(AND(ISNUMBER(C108),ISNUMBER(E108)),C108*E108," ")</f>
        <v xml:space="preserve"> </v>
      </c>
    </row>
    <row r="109" spans="1:8" s="304" customFormat="1">
      <c r="A109" s="383" t="s">
        <v>433</v>
      </c>
      <c r="B109" s="375" t="s">
        <v>523</v>
      </c>
      <c r="C109" s="369">
        <v>2</v>
      </c>
      <c r="D109" s="384" t="s">
        <v>254</v>
      </c>
      <c r="E109" s="538"/>
      <c r="F109" s="497" t="str">
        <f t="shared" si="3"/>
        <v xml:space="preserve"> </v>
      </c>
    </row>
    <row r="110" spans="1:8" s="371" customFormat="1">
      <c r="A110" s="385" t="s">
        <v>433</v>
      </c>
      <c r="B110" s="375" t="s">
        <v>524</v>
      </c>
      <c r="C110" s="369">
        <v>1</v>
      </c>
      <c r="D110" s="384" t="s">
        <v>254</v>
      </c>
      <c r="E110" s="538"/>
      <c r="F110" s="497" t="str">
        <f t="shared" si="3"/>
        <v xml:space="preserve"> </v>
      </c>
    </row>
    <row r="111" spans="1:8" s="371" customFormat="1">
      <c r="A111" s="385" t="s">
        <v>433</v>
      </c>
      <c r="B111" s="375" t="s">
        <v>525</v>
      </c>
      <c r="C111" s="369">
        <v>4</v>
      </c>
      <c r="D111" s="384" t="s">
        <v>254</v>
      </c>
      <c r="E111" s="538"/>
      <c r="F111" s="497" t="str">
        <f t="shared" si="3"/>
        <v xml:space="preserve"> </v>
      </c>
    </row>
    <row r="112" spans="1:8" s="371" customFormat="1">
      <c r="A112" s="385" t="s">
        <v>433</v>
      </c>
      <c r="B112" s="375" t="s">
        <v>526</v>
      </c>
      <c r="C112" s="386">
        <v>1</v>
      </c>
      <c r="D112" s="384" t="s">
        <v>254</v>
      </c>
      <c r="E112" s="538"/>
      <c r="F112" s="497" t="str">
        <f t="shared" si="3"/>
        <v xml:space="preserve"> </v>
      </c>
    </row>
    <row r="113" spans="1:6" s="304" customFormat="1">
      <c r="A113" s="385"/>
      <c r="B113" s="368"/>
      <c r="C113" s="369"/>
      <c r="D113" s="370"/>
      <c r="E113" s="501"/>
      <c r="F113" s="501"/>
    </row>
    <row r="114" spans="1:6" s="382" customFormat="1">
      <c r="A114" s="378"/>
      <c r="B114" s="387" t="s">
        <v>527</v>
      </c>
      <c r="C114" s="380"/>
      <c r="D114" s="381"/>
      <c r="E114" s="541" t="str">
        <f>IF(AND(ISNUMBER(#REF!),ISNUMBER(#REF!)),ROUND((#REF!*#REF!+#REF!*#REF!*#REF!)*#REF!*#REF!,0)," ")</f>
        <v xml:space="preserve"> </v>
      </c>
      <c r="F114" s="499">
        <f>SUM(F108:F112)</f>
        <v>0</v>
      </c>
    </row>
    <row r="115" spans="1:6" s="382" customFormat="1">
      <c r="A115" s="378"/>
      <c r="B115" s="387"/>
      <c r="C115" s="380"/>
      <c r="D115" s="381"/>
      <c r="E115" s="501"/>
      <c r="F115" s="499"/>
    </row>
    <row r="116" spans="1:6" s="390" customFormat="1">
      <c r="A116" s="317" t="s">
        <v>528</v>
      </c>
      <c r="B116" s="313" t="s">
        <v>529</v>
      </c>
      <c r="C116" s="388"/>
      <c r="D116" s="389"/>
      <c r="E116" s="502"/>
      <c r="F116" s="502"/>
    </row>
    <row r="117" spans="1:6" s="336" customFormat="1">
      <c r="A117" s="391"/>
      <c r="B117" s="335"/>
      <c r="C117" s="346"/>
      <c r="D117" s="392"/>
      <c r="E117" s="540"/>
      <c r="F117" s="498"/>
    </row>
    <row r="118" spans="1:6" s="336" customFormat="1">
      <c r="A118" s="394" t="s">
        <v>433</v>
      </c>
      <c r="B118" s="335" t="s">
        <v>530</v>
      </c>
      <c r="C118" s="346">
        <v>1</v>
      </c>
      <c r="D118" s="395" t="s">
        <v>254</v>
      </c>
      <c r="E118" s="538"/>
      <c r="F118" s="497" t="str">
        <f t="shared" ref="F118:F120" si="4">IF(AND(ISNUMBER(C118),ISNUMBER(E118)),C118*E118," ")</f>
        <v xml:space="preserve"> </v>
      </c>
    </row>
    <row r="119" spans="1:6" s="336" customFormat="1" ht="25.5">
      <c r="A119" s="394" t="s">
        <v>433</v>
      </c>
      <c r="B119" s="335" t="s">
        <v>531</v>
      </c>
      <c r="C119" s="346">
        <v>1</v>
      </c>
      <c r="D119" s="395" t="s">
        <v>254</v>
      </c>
      <c r="E119" s="538"/>
      <c r="F119" s="497" t="str">
        <f t="shared" si="4"/>
        <v xml:space="preserve"> </v>
      </c>
    </row>
    <row r="120" spans="1:6" s="335" customFormat="1" ht="25.5">
      <c r="A120" s="391" t="s">
        <v>433</v>
      </c>
      <c r="B120" s="335" t="s">
        <v>532</v>
      </c>
      <c r="C120" s="365">
        <v>2</v>
      </c>
      <c r="D120" s="372" t="s">
        <v>9</v>
      </c>
      <c r="E120" s="538"/>
      <c r="F120" s="497" t="str">
        <f t="shared" si="4"/>
        <v xml:space="preserve"> </v>
      </c>
    </row>
    <row r="121" spans="1:6" s="336" customFormat="1">
      <c r="A121" s="391"/>
      <c r="B121" s="335"/>
      <c r="C121" s="346"/>
      <c r="D121" s="392"/>
      <c r="E121" s="498"/>
      <c r="F121" s="498"/>
    </row>
    <row r="122" spans="1:6" s="390" customFormat="1">
      <c r="A122" s="317"/>
      <c r="B122" s="318" t="s">
        <v>533</v>
      </c>
      <c r="C122" s="388"/>
      <c r="D122" s="389"/>
      <c r="E122" s="542"/>
      <c r="F122" s="503">
        <f>SUM(F118:F120)</f>
        <v>0</v>
      </c>
    </row>
    <row r="123" spans="1:6" s="304" customFormat="1">
      <c r="A123" s="322"/>
      <c r="B123" s="323"/>
      <c r="C123" s="365"/>
      <c r="D123" s="331"/>
      <c r="E123" s="501"/>
      <c r="F123" s="501"/>
    </row>
    <row r="124" spans="1:6" s="304" customFormat="1" ht="15">
      <c r="A124" s="322"/>
      <c r="B124" s="396" t="s">
        <v>13</v>
      </c>
      <c r="C124" s="365"/>
      <c r="D124" s="331"/>
      <c r="E124" s="501"/>
      <c r="F124" s="501"/>
    </row>
    <row r="125" spans="1:6" s="304" customFormat="1">
      <c r="A125" s="322"/>
      <c r="B125" s="323"/>
      <c r="C125" s="365"/>
      <c r="D125" s="331"/>
      <c r="E125" s="501" t="str">
        <f>IF(AND(ISNUMBER(#REF!),ISNUMBER(#REF!)),ROUND((#REF!*#REF!+#REF!*#REF!*#REF!)*(1+#REF!)*#REF!*#REF!*#REF!,2)," ")</f>
        <v xml:space="preserve"> </v>
      </c>
      <c r="F125" s="501"/>
    </row>
    <row r="126" spans="1:6" s="304" customFormat="1">
      <c r="A126" s="362" t="s">
        <v>430</v>
      </c>
      <c r="B126" s="366" t="s">
        <v>534</v>
      </c>
      <c r="C126" s="380">
        <v>1</v>
      </c>
      <c r="D126" s="397" t="s">
        <v>254</v>
      </c>
      <c r="E126" s="541"/>
      <c r="F126" s="499">
        <f>F63</f>
        <v>0</v>
      </c>
    </row>
    <row r="127" spans="1:6" s="304" customFormat="1">
      <c r="A127" s="362" t="s">
        <v>487</v>
      </c>
      <c r="B127" s="366" t="s">
        <v>488</v>
      </c>
      <c r="C127" s="380">
        <v>1</v>
      </c>
      <c r="D127" s="397" t="s">
        <v>254</v>
      </c>
      <c r="E127" s="541"/>
      <c r="F127" s="499">
        <f>F74</f>
        <v>0</v>
      </c>
    </row>
    <row r="128" spans="1:6" s="304" customFormat="1" ht="25.5">
      <c r="A128" s="362" t="s">
        <v>495</v>
      </c>
      <c r="B128" s="398" t="s">
        <v>496</v>
      </c>
      <c r="C128" s="380">
        <v>1</v>
      </c>
      <c r="D128" s="397" t="s">
        <v>254</v>
      </c>
      <c r="E128" s="541"/>
      <c r="F128" s="499">
        <f>F103</f>
        <v>0</v>
      </c>
    </row>
    <row r="129" spans="1:6" s="304" customFormat="1">
      <c r="A129" s="362" t="s">
        <v>520</v>
      </c>
      <c r="B129" s="366" t="s">
        <v>521</v>
      </c>
      <c r="C129" s="380">
        <v>1</v>
      </c>
      <c r="D129" s="397" t="s">
        <v>254</v>
      </c>
      <c r="E129" s="541"/>
      <c r="F129" s="499">
        <f>F114</f>
        <v>0</v>
      </c>
    </row>
    <row r="130" spans="1:6" s="304" customFormat="1">
      <c r="A130" s="362" t="s">
        <v>528</v>
      </c>
      <c r="B130" s="366" t="s">
        <v>529</v>
      </c>
      <c r="C130" s="380">
        <v>1</v>
      </c>
      <c r="D130" s="397" t="s">
        <v>254</v>
      </c>
      <c r="E130" s="541"/>
      <c r="F130" s="499">
        <f>F122</f>
        <v>0</v>
      </c>
    </row>
    <row r="131" spans="1:6" s="304" customFormat="1">
      <c r="A131" s="362" t="s">
        <v>535</v>
      </c>
      <c r="B131" s="399" t="s">
        <v>536</v>
      </c>
      <c r="C131" s="380">
        <v>1</v>
      </c>
      <c r="D131" s="397" t="s">
        <v>254</v>
      </c>
      <c r="E131" s="543"/>
      <c r="F131" s="497" t="str">
        <f t="shared" ref="F131:F136" si="5">IF(AND(ISNUMBER(C131),ISNUMBER(E131)),C131*E131," ")</f>
        <v xml:space="preserve"> </v>
      </c>
    </row>
    <row r="132" spans="1:6" s="304" customFormat="1">
      <c r="A132" s="362" t="s">
        <v>537</v>
      </c>
      <c r="B132" s="399" t="s">
        <v>538</v>
      </c>
      <c r="C132" s="380">
        <v>1</v>
      </c>
      <c r="D132" s="397" t="s">
        <v>254</v>
      </c>
      <c r="E132" s="543"/>
      <c r="F132" s="497" t="str">
        <f t="shared" si="5"/>
        <v xml:space="preserve"> </v>
      </c>
    </row>
    <row r="133" spans="1:6" s="304" customFormat="1" ht="38.25">
      <c r="A133" s="362" t="s">
        <v>539</v>
      </c>
      <c r="B133" s="399" t="s">
        <v>540</v>
      </c>
      <c r="C133" s="380">
        <v>1</v>
      </c>
      <c r="D133" s="397" t="s">
        <v>254</v>
      </c>
      <c r="E133" s="543"/>
      <c r="F133" s="497" t="str">
        <f t="shared" si="5"/>
        <v xml:space="preserve"> </v>
      </c>
    </row>
    <row r="134" spans="1:6" s="304" customFormat="1" ht="89.25">
      <c r="A134" s="362" t="s">
        <v>541</v>
      </c>
      <c r="B134" s="399" t="s">
        <v>542</v>
      </c>
      <c r="C134" s="380">
        <v>1</v>
      </c>
      <c r="D134" s="397" t="s">
        <v>254</v>
      </c>
      <c r="E134" s="543"/>
      <c r="F134" s="497" t="str">
        <f t="shared" si="5"/>
        <v xml:space="preserve"> </v>
      </c>
    </row>
    <row r="135" spans="1:6" s="304" customFormat="1">
      <c r="A135" s="362" t="s">
        <v>543</v>
      </c>
      <c r="B135" s="399" t="s">
        <v>544</v>
      </c>
      <c r="C135" s="380">
        <v>1</v>
      </c>
      <c r="D135" s="397" t="s">
        <v>254</v>
      </c>
      <c r="E135" s="543"/>
      <c r="F135" s="497" t="str">
        <f t="shared" si="5"/>
        <v xml:space="preserve"> </v>
      </c>
    </row>
    <row r="136" spans="1:6" s="304" customFormat="1">
      <c r="A136" s="362" t="s">
        <v>545</v>
      </c>
      <c r="B136" s="399" t="s">
        <v>546</v>
      </c>
      <c r="C136" s="380">
        <v>1</v>
      </c>
      <c r="D136" s="397" t="s">
        <v>254</v>
      </c>
      <c r="E136" s="543"/>
      <c r="F136" s="497" t="str">
        <f t="shared" si="5"/>
        <v xml:space="preserve"> </v>
      </c>
    </row>
    <row r="137" spans="1:6" s="304" customFormat="1">
      <c r="A137" s="400"/>
      <c r="B137" s="401"/>
      <c r="C137" s="402"/>
      <c r="D137" s="403"/>
      <c r="E137" s="504"/>
      <c r="F137" s="505"/>
    </row>
    <row r="138" spans="1:6" s="304" customFormat="1">
      <c r="A138" s="404"/>
      <c r="B138" s="405"/>
      <c r="C138" s="405"/>
      <c r="D138" s="406"/>
      <c r="E138" s="506" t="str">
        <f>IF(AND(ISNUMBER(#REF!),ISNUMBER(#REF!)),ROUND((#REF!*#REF!+#REF!*#REF!*#REF!)*(1+#REF!)*#REF!*#REF!*#REF!,2)," ")</f>
        <v xml:space="preserve"> </v>
      </c>
      <c r="F138" s="506"/>
    </row>
    <row r="139" spans="1:6" s="382" customFormat="1" ht="22.5" customHeight="1">
      <c r="A139" s="407"/>
      <c r="B139" s="382" t="s">
        <v>547</v>
      </c>
      <c r="D139" s="408"/>
      <c r="E139" s="544" t="s">
        <v>548</v>
      </c>
      <c r="F139" s="507">
        <f>SUM(F126:F136)</f>
        <v>0</v>
      </c>
    </row>
    <row r="140" spans="1:6" s="304" customFormat="1">
      <c r="A140" s="309"/>
      <c r="D140" s="310"/>
      <c r="E140" s="508" t="str">
        <f>IF(AND(ISNUMBER(#REF!),ISNUMBER(#REF!)),ROUND((#REF!*#REF!+#REF!*#REF!*#REF!)*(1+#REF!)*#REF!*#REF!*#REF!,2)," ")</f>
        <v xml:space="preserve"> </v>
      </c>
      <c r="F140" s="508" t="str">
        <f t="shared" ref="F140:F141" si="6">IF(AND(ISNUMBER(C140),ISNUMBER(E140)),C140*E140," ")</f>
        <v xml:space="preserve"> </v>
      </c>
    </row>
    <row r="141" spans="1:6" s="304" customFormat="1">
      <c r="A141" s="309"/>
      <c r="D141" s="310"/>
      <c r="E141" s="311" t="str">
        <f>IF(AND(ISNUMBER(#REF!),ISNUMBER(#REF!)),ROUND((#REF!*#REF!+#REF!*#REF!*#REF!)*(1+#REF!)*#REF!*#REF!*#REF!,2)," ")</f>
        <v xml:space="preserve"> </v>
      </c>
      <c r="F141" s="311" t="str">
        <f t="shared" si="6"/>
        <v xml:space="preserve"> </v>
      </c>
    </row>
  </sheetData>
  <sheetProtection algorithmName="SHA-512" hashValue="pXj/8+jPJCRpGcrlMFMhQaw/c34XmNRRtDxpvEPC/FLemRIg5f4TSiOgTHbfwkYEUFriSK7LfEt5XCO+1YKMdw==" saltValue="NLKnsPcPQ8CzfOhRKH40EQ==" spinCount="100000" sheet="1" objects="1" scenarios="1"/>
  <mergeCells count="1">
    <mergeCell ref="B3:D3"/>
  </mergeCells>
  <conditionalFormatting sqref="D2 E137:E138 E140:E64146 E1:E6">
    <cfRule type="cellIs" dxfId="6" priority="3" stopIfTrue="1" operator="equal">
      <formula>E1</formula>
    </cfRule>
  </conditionalFormatting>
  <conditionalFormatting sqref="E9:E10">
    <cfRule type="cellIs" dxfId="5" priority="2" stopIfTrue="1" operator="equal">
      <formula>F9</formula>
    </cfRule>
  </conditionalFormatting>
  <conditionalFormatting sqref="G46">
    <cfRule type="cellIs" dxfId="4" priority="1" stopIfTrue="1" operator="equal">
      <formula>H46</formula>
    </cfRule>
  </conditionalFormatting>
  <pageMargins left="0.70866141732283472" right="0.70866141732283472" top="0.74803149606299213" bottom="0.74803149606299213" header="0.31496062992125984" footer="0.31496062992125984"/>
  <pageSetup paperSize="9" orientation="portrait" r:id="rId1"/>
  <headerFooter>
    <oddHeader>&amp;LSAVINJAPROEJKT d.o.o.&amp;RŠt. proj.: 56/2016</oddHeader>
    <oddFooter>&amp;C&amp;P/&amp;N</oddFooter>
  </headerFooter>
  <rowBreaks count="3" manualBreakCount="3">
    <brk id="75" max="16383" man="1"/>
    <brk id="114" max="16383" man="1"/>
    <brk id="1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view="pageBreakPreview" zoomScale="110" zoomScaleNormal="100" zoomScaleSheetLayoutView="110" workbookViewId="0">
      <selection activeCell="I3" sqref="I3"/>
    </sheetView>
  </sheetViews>
  <sheetFormatPr defaultRowHeight="14.25"/>
  <cols>
    <col min="1" max="1" width="4.85546875" style="91" bestFit="1" customWidth="1"/>
    <col min="2" max="2" width="45.42578125" style="58" customWidth="1"/>
    <col min="3" max="3" width="6.5703125" style="59" bestFit="1" customWidth="1"/>
    <col min="4" max="4" width="8.42578125" style="60" customWidth="1"/>
    <col min="5" max="5" width="10.7109375" style="80" customWidth="1"/>
    <col min="6" max="6" width="12.42578125" style="80" customWidth="1"/>
    <col min="7" max="7" width="9.140625" style="12"/>
    <col min="8" max="16384" width="9.140625" style="9"/>
  </cols>
  <sheetData>
    <row r="1" spans="1:6" ht="26.25" thickBot="1">
      <c r="A1" s="82" t="s">
        <v>0</v>
      </c>
      <c r="B1" s="10" t="s">
        <v>1</v>
      </c>
      <c r="C1" s="10" t="s">
        <v>2</v>
      </c>
      <c r="D1" s="11" t="s">
        <v>3</v>
      </c>
      <c r="E1" s="151" t="s">
        <v>4</v>
      </c>
      <c r="F1" s="61" t="s">
        <v>5</v>
      </c>
    </row>
    <row r="2" spans="1:6" ht="22.5" customHeight="1" thickBot="1">
      <c r="A2" s="83"/>
      <c r="B2" s="152" t="s">
        <v>106</v>
      </c>
      <c r="C2" s="153"/>
      <c r="D2" s="154"/>
      <c r="E2" s="155"/>
      <c r="F2" s="156"/>
    </row>
    <row r="3" spans="1:6" ht="140.25">
      <c r="A3" s="84">
        <v>1</v>
      </c>
      <c r="B3" s="16" t="s">
        <v>633</v>
      </c>
      <c r="C3" s="17" t="s">
        <v>7</v>
      </c>
      <c r="D3" s="18">
        <v>1</v>
      </c>
      <c r="E3" s="511"/>
      <c r="F3" s="19">
        <f>D3*E3</f>
        <v>0</v>
      </c>
    </row>
    <row r="4" spans="1:6" ht="114.75">
      <c r="A4" s="85">
        <v>2</v>
      </c>
      <c r="B4" s="20" t="s">
        <v>631</v>
      </c>
      <c r="C4" s="21" t="s">
        <v>7</v>
      </c>
      <c r="D4" s="22">
        <v>1</v>
      </c>
      <c r="E4" s="512"/>
      <c r="F4" s="23">
        <f t="shared" ref="F4:F6" si="0">D4*E4</f>
        <v>0</v>
      </c>
    </row>
    <row r="5" spans="1:6" ht="76.5">
      <c r="A5" s="84">
        <v>3</v>
      </c>
      <c r="B5" s="20" t="s">
        <v>632</v>
      </c>
      <c r="C5" s="21" t="s">
        <v>7</v>
      </c>
      <c r="D5" s="22">
        <v>1</v>
      </c>
      <c r="E5" s="512"/>
      <c r="F5" s="23">
        <f t="shared" si="0"/>
        <v>0</v>
      </c>
    </row>
    <row r="6" spans="1:6" ht="40.5" customHeight="1" thickBot="1">
      <c r="A6" s="85">
        <v>4</v>
      </c>
      <c r="B6" s="20" t="s">
        <v>82</v>
      </c>
      <c r="C6" s="21" t="s">
        <v>6</v>
      </c>
      <c r="D6" s="22">
        <v>10</v>
      </c>
      <c r="E6" s="513"/>
      <c r="F6" s="144">
        <f t="shared" si="0"/>
        <v>0</v>
      </c>
    </row>
    <row r="7" spans="1:6" ht="24.75" customHeight="1" thickBot="1">
      <c r="A7" s="157" t="s">
        <v>34</v>
      </c>
      <c r="B7" s="152" t="s">
        <v>107</v>
      </c>
      <c r="C7" s="153"/>
      <c r="D7" s="154"/>
      <c r="E7" s="155"/>
      <c r="F7" s="156">
        <f>SUM(F3:F6)</f>
        <v>0</v>
      </c>
    </row>
  </sheetData>
  <sheetProtection algorithmName="SHA-512" hashValue="E/ApLLe3IFKJqdYfyk5+eVR83+nujDSHUyHdjvJVwOSYlCs/K5Y+0P+fRbWCqpLQTpTZDA8MFqLv3+u/LIYgjw==" saltValue="36Sub2w133g6LHrXF/GZx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56/2016</oddHeader>
    <oddFooter>&amp;C&amp;P/&amp;N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74"/>
  <sheetViews>
    <sheetView showZeros="0" view="pageBreakPreview" topLeftCell="A34" zoomScaleNormal="100" zoomScaleSheetLayoutView="100" workbookViewId="0">
      <selection activeCell="F59" sqref="F59"/>
    </sheetView>
  </sheetViews>
  <sheetFormatPr defaultRowHeight="12.75"/>
  <cols>
    <col min="1" max="1" width="5.7109375" style="392" customWidth="1"/>
    <col min="2" max="2" width="46.7109375" style="336" customWidth="1"/>
    <col min="3" max="3" width="5.7109375" style="336" customWidth="1"/>
    <col min="4" max="4" width="5.7109375" style="395" customWidth="1"/>
    <col min="5" max="5" width="12" style="336" customWidth="1"/>
    <col min="6" max="6" width="12.7109375" style="336" customWidth="1"/>
    <col min="7" max="16384" width="9.140625" style="336"/>
  </cols>
  <sheetData>
    <row r="1" spans="1:6" ht="14.25">
      <c r="B1" s="410"/>
      <c r="E1" s="409"/>
      <c r="F1" s="409"/>
    </row>
    <row r="2" spans="1:6" ht="15.75">
      <c r="B2" s="456" t="s">
        <v>423</v>
      </c>
      <c r="E2" s="409"/>
      <c r="F2" s="409"/>
    </row>
    <row r="3" spans="1:6" ht="14.25">
      <c r="B3" s="410"/>
      <c r="E3" s="409"/>
      <c r="F3" s="409"/>
    </row>
    <row r="4" spans="1:6" s="413" customFormat="1" ht="16.5" customHeight="1">
      <c r="A4" s="411" t="s">
        <v>424</v>
      </c>
      <c r="B4" s="411" t="s">
        <v>425</v>
      </c>
      <c r="C4" s="411" t="s">
        <v>426</v>
      </c>
      <c r="D4" s="411" t="s">
        <v>549</v>
      </c>
      <c r="E4" s="412" t="s">
        <v>428</v>
      </c>
      <c r="F4" s="412" t="s">
        <v>429</v>
      </c>
    </row>
    <row r="5" spans="1:6" ht="14.25">
      <c r="B5" s="414"/>
      <c r="E5" s="487"/>
      <c r="F5" s="487"/>
    </row>
    <row r="6" spans="1:6" s="390" customFormat="1">
      <c r="A6" s="312" t="s">
        <v>430</v>
      </c>
      <c r="B6" s="415" t="s">
        <v>604</v>
      </c>
      <c r="C6" s="389"/>
      <c r="D6" s="415"/>
      <c r="E6" s="488"/>
      <c r="F6" s="488"/>
    </row>
    <row r="7" spans="1:6">
      <c r="A7" s="391"/>
      <c r="B7" s="395" t="s">
        <v>551</v>
      </c>
      <c r="C7" s="346"/>
      <c r="E7" s="488"/>
      <c r="F7" s="488"/>
    </row>
    <row r="8" spans="1:6">
      <c r="A8" s="391"/>
      <c r="B8" s="395"/>
      <c r="C8" s="346"/>
      <c r="E8" s="488"/>
      <c r="F8" s="488"/>
    </row>
    <row r="9" spans="1:6" s="390" customFormat="1" ht="64.5" customHeight="1">
      <c r="A9" s="334" t="s">
        <v>433</v>
      </c>
      <c r="B9" s="416" t="s">
        <v>552</v>
      </c>
      <c r="C9" s="336">
        <v>1</v>
      </c>
      <c r="D9" s="395" t="s">
        <v>6</v>
      </c>
      <c r="E9" s="533"/>
      <c r="F9" s="489">
        <f>C9*E9</f>
        <v>0</v>
      </c>
    </row>
    <row r="10" spans="1:6" ht="15">
      <c r="A10" s="334" t="s">
        <v>433</v>
      </c>
      <c r="B10" s="354" t="s">
        <v>553</v>
      </c>
      <c r="C10" s="336">
        <v>1</v>
      </c>
      <c r="D10" s="395" t="s">
        <v>6</v>
      </c>
      <c r="E10" s="533"/>
      <c r="F10" s="489" t="str">
        <f t="shared" ref="F10:F14" si="0">IF(AND(ISNUMBER(C10),ISNUMBER(E10)),C10*E10," ")</f>
        <v xml:space="preserve"> </v>
      </c>
    </row>
    <row r="11" spans="1:6" ht="51.75">
      <c r="A11" s="352" t="s">
        <v>433</v>
      </c>
      <c r="B11" s="393" t="s">
        <v>554</v>
      </c>
      <c r="C11" s="417">
        <v>1</v>
      </c>
      <c r="D11" s="417" t="s">
        <v>6</v>
      </c>
      <c r="E11" s="533"/>
      <c r="F11" s="489" t="str">
        <f t="shared" si="0"/>
        <v xml:space="preserve"> </v>
      </c>
    </row>
    <row r="12" spans="1:6" ht="63.75">
      <c r="A12" s="352" t="s">
        <v>433</v>
      </c>
      <c r="B12" s="416" t="s">
        <v>555</v>
      </c>
      <c r="C12" s="417">
        <v>3</v>
      </c>
      <c r="D12" s="417" t="s">
        <v>6</v>
      </c>
      <c r="E12" s="533"/>
      <c r="F12" s="489" t="str">
        <f t="shared" si="0"/>
        <v xml:space="preserve"> </v>
      </c>
    </row>
    <row r="13" spans="1:6" ht="15">
      <c r="A13" s="352" t="s">
        <v>433</v>
      </c>
      <c r="B13" s="418" t="s">
        <v>556</v>
      </c>
      <c r="C13" s="419">
        <v>1</v>
      </c>
      <c r="D13" s="419" t="s">
        <v>6</v>
      </c>
      <c r="E13" s="533"/>
      <c r="F13" s="489" t="str">
        <f t="shared" si="0"/>
        <v xml:space="preserve"> </v>
      </c>
    </row>
    <row r="14" spans="1:6" s="421" customFormat="1" ht="15">
      <c r="A14" s="420" t="s">
        <v>433</v>
      </c>
      <c r="B14" s="421" t="s">
        <v>557</v>
      </c>
      <c r="C14" s="422">
        <v>1</v>
      </c>
      <c r="D14" s="423" t="s">
        <v>254</v>
      </c>
      <c r="E14" s="534"/>
      <c r="F14" s="489" t="str">
        <f t="shared" si="0"/>
        <v xml:space="preserve"> </v>
      </c>
    </row>
    <row r="15" spans="1:6" s="421" customFormat="1">
      <c r="A15" s="420"/>
      <c r="C15" s="422"/>
      <c r="D15" s="423"/>
      <c r="E15" s="490"/>
      <c r="F15" s="488"/>
    </row>
    <row r="16" spans="1:6" s="390" customFormat="1">
      <c r="A16" s="317"/>
      <c r="B16" s="388" t="s">
        <v>558</v>
      </c>
      <c r="C16" s="388"/>
      <c r="D16" s="415"/>
      <c r="E16" s="535"/>
      <c r="F16" s="491">
        <f>SUM(F9:F15)</f>
        <v>0</v>
      </c>
    </row>
    <row r="17" spans="1:6" s="390" customFormat="1">
      <c r="A17" s="317"/>
      <c r="B17" s="388"/>
      <c r="C17" s="388"/>
      <c r="D17" s="415"/>
      <c r="E17" s="488"/>
      <c r="F17" s="491"/>
    </row>
    <row r="18" spans="1:6" s="390" customFormat="1">
      <c r="A18" s="317"/>
      <c r="B18" s="388"/>
      <c r="C18" s="388"/>
      <c r="D18" s="415"/>
      <c r="E18" s="488"/>
      <c r="F18" s="491"/>
    </row>
    <row r="19" spans="1:6" s="390" customFormat="1">
      <c r="A19" s="389" t="s">
        <v>487</v>
      </c>
      <c r="B19" s="390" t="s">
        <v>488</v>
      </c>
      <c r="C19" s="388"/>
      <c r="D19" s="389"/>
      <c r="E19" s="488"/>
      <c r="F19" s="488"/>
    </row>
    <row r="20" spans="1:6">
      <c r="A20" s="391"/>
      <c r="B20" s="395" t="s">
        <v>559</v>
      </c>
      <c r="C20" s="346"/>
      <c r="E20" s="488"/>
      <c r="F20" s="488"/>
    </row>
    <row r="21" spans="1:6">
      <c r="A21" s="391"/>
      <c r="B21" s="395"/>
      <c r="C21" s="346"/>
      <c r="E21" s="488"/>
      <c r="F21" s="488"/>
    </row>
    <row r="22" spans="1:6" ht="27" customHeight="1">
      <c r="A22" s="391" t="s">
        <v>433</v>
      </c>
      <c r="B22" s="424" t="s">
        <v>560</v>
      </c>
      <c r="C22" s="346">
        <v>30</v>
      </c>
      <c r="D22" s="395" t="s">
        <v>9</v>
      </c>
      <c r="E22" s="533"/>
      <c r="F22" s="489" t="str">
        <f>IF(AND(ISNUMBER(C22),ISNUMBER(E22)),C22*E22," ")</f>
        <v xml:space="preserve"> </v>
      </c>
    </row>
    <row r="23" spans="1:6" ht="15">
      <c r="B23" s="427"/>
      <c r="C23" s="346"/>
      <c r="E23" s="489"/>
      <c r="F23" s="489"/>
    </row>
    <row r="24" spans="1:6">
      <c r="B24" s="427"/>
      <c r="C24" s="346"/>
      <c r="E24" s="488"/>
      <c r="F24" s="488"/>
    </row>
    <row r="25" spans="1:6" s="390" customFormat="1">
      <c r="A25" s="389"/>
      <c r="B25" s="388" t="s">
        <v>563</v>
      </c>
      <c r="C25" s="388"/>
      <c r="D25" s="389"/>
      <c r="E25" s="535" t="str">
        <f>IF(AND(ISNUMBER(#REF!),ISNUMBER(#REF!)),ROUND((#REF!*#REF!/(1-#REF!)+#REF!*#REF!*#REF!)*#REF!*#REF!*#REF!,0)," ")</f>
        <v xml:space="preserve"> </v>
      </c>
      <c r="F25" s="491">
        <f>SUM(F22:F24)</f>
        <v>0</v>
      </c>
    </row>
    <row r="26" spans="1:6" s="390" customFormat="1">
      <c r="A26" s="389"/>
      <c r="B26" s="388"/>
      <c r="C26" s="388"/>
      <c r="D26" s="389"/>
      <c r="E26" s="488"/>
      <c r="F26" s="491"/>
    </row>
    <row r="27" spans="1:6" s="390" customFormat="1">
      <c r="A27" s="389"/>
      <c r="B27" s="388"/>
      <c r="C27" s="388"/>
      <c r="D27" s="389"/>
      <c r="E27" s="488"/>
      <c r="F27" s="491"/>
    </row>
    <row r="28" spans="1:6" s="390" customFormat="1">
      <c r="A28" s="389" t="s">
        <v>495</v>
      </c>
      <c r="B28" s="390" t="s">
        <v>529</v>
      </c>
      <c r="C28" s="388"/>
      <c r="D28" s="389"/>
      <c r="E28" s="488"/>
      <c r="F28" s="491"/>
    </row>
    <row r="29" spans="1:6" s="390" customFormat="1">
      <c r="A29" s="392"/>
      <c r="B29" s="336"/>
      <c r="C29" s="346"/>
      <c r="D29" s="392"/>
      <c r="E29" s="488"/>
      <c r="F29" s="491"/>
    </row>
    <row r="30" spans="1:6" s="390" customFormat="1" ht="15">
      <c r="A30" s="394" t="s">
        <v>433</v>
      </c>
      <c r="B30" s="336" t="s">
        <v>530</v>
      </c>
      <c r="C30" s="336">
        <v>1</v>
      </c>
      <c r="D30" s="336" t="s">
        <v>254</v>
      </c>
      <c r="E30" s="533"/>
      <c r="F30" s="489" t="str">
        <f t="shared" ref="F30:F35" si="1">IF(AND(ISNUMBER(C30),ISNUMBER(E30)),C30*E30," ")</f>
        <v xml:space="preserve"> </v>
      </c>
    </row>
    <row r="31" spans="1:6" s="390" customFormat="1" ht="26.25">
      <c r="A31" s="394" t="s">
        <v>433</v>
      </c>
      <c r="B31" s="336" t="s">
        <v>565</v>
      </c>
      <c r="C31" s="336">
        <v>1</v>
      </c>
      <c r="D31" s="336" t="s">
        <v>254</v>
      </c>
      <c r="E31" s="533"/>
      <c r="F31" s="489" t="str">
        <f t="shared" si="1"/>
        <v xml:space="preserve"> </v>
      </c>
    </row>
    <row r="32" spans="1:6" s="390" customFormat="1" ht="26.25" customHeight="1">
      <c r="A32" s="428" t="s">
        <v>433</v>
      </c>
      <c r="B32" s="430" t="s">
        <v>605</v>
      </c>
      <c r="C32" s="425">
        <v>25</v>
      </c>
      <c r="D32" s="426" t="s">
        <v>9</v>
      </c>
      <c r="E32" s="533"/>
      <c r="F32" s="489" t="str">
        <f t="shared" si="1"/>
        <v xml:space="preserve"> </v>
      </c>
    </row>
    <row r="33" spans="1:6" s="390" customFormat="1" ht="26.25" customHeight="1">
      <c r="A33" s="428" t="s">
        <v>433</v>
      </c>
      <c r="B33" s="430" t="s">
        <v>606</v>
      </c>
      <c r="C33" s="425">
        <v>10</v>
      </c>
      <c r="D33" s="426" t="s">
        <v>573</v>
      </c>
      <c r="E33" s="533"/>
      <c r="F33" s="489" t="str">
        <f t="shared" si="1"/>
        <v xml:space="preserve"> </v>
      </c>
    </row>
    <row r="34" spans="1:6" s="390" customFormat="1" ht="15">
      <c r="A34" s="428" t="s">
        <v>433</v>
      </c>
      <c r="B34" s="429" t="s">
        <v>564</v>
      </c>
      <c r="C34" s="425">
        <v>25</v>
      </c>
      <c r="D34" s="426" t="s">
        <v>9</v>
      </c>
      <c r="E34" s="533"/>
      <c r="F34" s="489" t="str">
        <f t="shared" si="1"/>
        <v xml:space="preserve"> </v>
      </c>
    </row>
    <row r="35" spans="1:6" s="390" customFormat="1" ht="15">
      <c r="A35" s="367" t="s">
        <v>433</v>
      </c>
      <c r="B35" s="325" t="s">
        <v>561</v>
      </c>
      <c r="C35" s="425">
        <v>25</v>
      </c>
      <c r="D35" s="426" t="s">
        <v>9</v>
      </c>
      <c r="E35" s="533"/>
      <c r="F35" s="489" t="str">
        <f t="shared" si="1"/>
        <v xml:space="preserve"> </v>
      </c>
    </row>
    <row r="36" spans="1:6" s="390" customFormat="1">
      <c r="A36" s="374"/>
      <c r="B36" s="325"/>
      <c r="C36" s="365"/>
      <c r="D36" s="372"/>
      <c r="E36" s="488"/>
      <c r="F36" s="491"/>
    </row>
    <row r="37" spans="1:6" s="390" customFormat="1">
      <c r="A37" s="389"/>
      <c r="B37" s="388" t="s">
        <v>533</v>
      </c>
      <c r="C37" s="388"/>
      <c r="D37" s="389"/>
      <c r="E37" s="535"/>
      <c r="F37" s="491">
        <f>SUM(F30:F35)</f>
        <v>0</v>
      </c>
    </row>
    <row r="38" spans="1:6" s="390" customFormat="1">
      <c r="A38" s="389"/>
      <c r="B38" s="388"/>
      <c r="C38" s="388"/>
      <c r="D38" s="389"/>
      <c r="E38" s="492"/>
      <c r="F38" s="491"/>
    </row>
    <row r="39" spans="1:6" s="390" customFormat="1">
      <c r="A39" s="389"/>
      <c r="B39" s="388"/>
      <c r="C39" s="388"/>
      <c r="D39" s="389"/>
      <c r="E39" s="488"/>
      <c r="F39" s="491"/>
    </row>
    <row r="40" spans="1:6" s="390" customFormat="1">
      <c r="A40" s="389" t="s">
        <v>520</v>
      </c>
      <c r="B40" s="390" t="s">
        <v>578</v>
      </c>
      <c r="C40" s="388"/>
      <c r="D40" s="389"/>
      <c r="E40" s="488"/>
      <c r="F40" s="488"/>
    </row>
    <row r="41" spans="1:6">
      <c r="A41" s="391"/>
      <c r="B41" s="395" t="s">
        <v>432</v>
      </c>
      <c r="C41" s="346"/>
      <c r="E41" s="488"/>
      <c r="F41" s="488"/>
    </row>
    <row r="42" spans="1:6">
      <c r="C42" s="346"/>
      <c r="D42" s="392"/>
      <c r="E42" s="488"/>
      <c r="F42" s="488"/>
    </row>
    <row r="43" spans="1:6" ht="15">
      <c r="A43" s="392" t="s">
        <v>433</v>
      </c>
      <c r="B43" s="336" t="s">
        <v>579</v>
      </c>
      <c r="C43" s="336">
        <v>50</v>
      </c>
      <c r="D43" s="395" t="s">
        <v>9</v>
      </c>
      <c r="E43" s="533"/>
      <c r="F43" s="489" t="str">
        <f t="shared" ref="F43:F48" si="2">IF(AND(ISNUMBER(C43),ISNUMBER(E43)),C43*E43," ")</f>
        <v xml:space="preserve"> </v>
      </c>
    </row>
    <row r="44" spans="1:6" ht="15">
      <c r="A44" s="392" t="s">
        <v>433</v>
      </c>
      <c r="B44" s="336" t="s">
        <v>580</v>
      </c>
      <c r="C44" s="336">
        <v>4</v>
      </c>
      <c r="D44" s="395" t="s">
        <v>6</v>
      </c>
      <c r="E44" s="533"/>
      <c r="F44" s="489" t="str">
        <f t="shared" si="2"/>
        <v xml:space="preserve"> </v>
      </c>
    </row>
    <row r="45" spans="1:6" ht="38.25">
      <c r="A45" s="391" t="s">
        <v>433</v>
      </c>
      <c r="B45" s="424" t="s">
        <v>581</v>
      </c>
      <c r="C45" s="336">
        <v>2</v>
      </c>
      <c r="D45" s="431" t="s">
        <v>254</v>
      </c>
      <c r="E45" s="533"/>
      <c r="F45" s="489" t="str">
        <f t="shared" si="2"/>
        <v xml:space="preserve"> </v>
      </c>
    </row>
    <row r="46" spans="1:6" ht="39">
      <c r="A46" s="391" t="s">
        <v>433</v>
      </c>
      <c r="B46" s="336" t="s">
        <v>582</v>
      </c>
      <c r="C46" s="346">
        <v>1</v>
      </c>
      <c r="D46" s="395" t="s">
        <v>254</v>
      </c>
      <c r="E46" s="533"/>
      <c r="F46" s="489" t="str">
        <f t="shared" si="2"/>
        <v xml:space="preserve"> </v>
      </c>
    </row>
    <row r="47" spans="1:6" ht="15">
      <c r="A47" s="420" t="s">
        <v>433</v>
      </c>
      <c r="B47" s="421" t="s">
        <v>607</v>
      </c>
      <c r="C47" s="432">
        <v>3</v>
      </c>
      <c r="D47" s="423" t="s">
        <v>6</v>
      </c>
      <c r="E47" s="533"/>
      <c r="F47" s="489" t="str">
        <f t="shared" si="2"/>
        <v xml:space="preserve"> </v>
      </c>
    </row>
    <row r="48" spans="1:6" s="434" customFormat="1" ht="15">
      <c r="A48" s="433" t="s">
        <v>433</v>
      </c>
      <c r="B48" s="434" t="s">
        <v>592</v>
      </c>
      <c r="C48" s="435">
        <v>1</v>
      </c>
      <c r="D48" s="431" t="s">
        <v>254</v>
      </c>
      <c r="E48" s="533"/>
      <c r="F48" s="489" t="str">
        <f t="shared" si="2"/>
        <v xml:space="preserve"> </v>
      </c>
    </row>
    <row r="49" spans="1:6" s="434" customFormat="1">
      <c r="A49" s="433"/>
      <c r="C49" s="435"/>
      <c r="D49" s="431"/>
      <c r="E49" s="490"/>
      <c r="F49" s="490"/>
    </row>
    <row r="50" spans="1:6" s="390" customFormat="1">
      <c r="A50" s="389"/>
      <c r="B50" s="388" t="s">
        <v>593</v>
      </c>
      <c r="C50" s="388"/>
      <c r="D50" s="389"/>
      <c r="E50" s="535"/>
      <c r="F50" s="491">
        <f>SUM(F43:F49)</f>
        <v>0</v>
      </c>
    </row>
    <row r="51" spans="1:6" s="390" customFormat="1">
      <c r="A51" s="389"/>
      <c r="B51" s="388"/>
      <c r="C51" s="388"/>
      <c r="D51" s="389"/>
      <c r="E51" s="488"/>
      <c r="F51" s="491"/>
    </row>
    <row r="52" spans="1:6" s="390" customFormat="1">
      <c r="A52" s="389"/>
      <c r="D52" s="415"/>
      <c r="E52" s="490"/>
      <c r="F52" s="492"/>
    </row>
    <row r="53" spans="1:6" s="390" customFormat="1">
      <c r="A53" s="389"/>
      <c r="D53" s="415"/>
      <c r="E53" s="490"/>
      <c r="F53" s="490"/>
    </row>
    <row r="54" spans="1:6" ht="15.75">
      <c r="B54" s="436" t="s">
        <v>13</v>
      </c>
      <c r="E54" s="488"/>
      <c r="F54" s="488"/>
    </row>
    <row r="55" spans="1:6" ht="15.75">
      <c r="B55" s="436"/>
      <c r="E55" s="488"/>
      <c r="F55" s="488"/>
    </row>
    <row r="56" spans="1:6">
      <c r="A56" s="317" t="s">
        <v>430</v>
      </c>
      <c r="B56" s="313" t="s">
        <v>431</v>
      </c>
      <c r="C56" s="390">
        <v>1</v>
      </c>
      <c r="D56" s="415" t="s">
        <v>254</v>
      </c>
      <c r="E56" s="536"/>
      <c r="F56" s="491">
        <f>F16</f>
        <v>0</v>
      </c>
    </row>
    <row r="57" spans="1:6">
      <c r="A57" s="317" t="s">
        <v>487</v>
      </c>
      <c r="B57" s="313" t="s">
        <v>488</v>
      </c>
      <c r="C57" s="390">
        <v>1</v>
      </c>
      <c r="D57" s="415" t="s">
        <v>254</v>
      </c>
      <c r="E57" s="536"/>
      <c r="F57" s="491">
        <f>F25</f>
        <v>0</v>
      </c>
    </row>
    <row r="58" spans="1:6">
      <c r="A58" s="317" t="s">
        <v>495</v>
      </c>
      <c r="B58" s="313" t="s">
        <v>529</v>
      </c>
      <c r="C58" s="390">
        <v>1</v>
      </c>
      <c r="D58" s="415" t="s">
        <v>254</v>
      </c>
      <c r="E58" s="536"/>
      <c r="F58" s="491">
        <f>F37</f>
        <v>0</v>
      </c>
    </row>
    <row r="59" spans="1:6">
      <c r="A59" s="317" t="s">
        <v>520</v>
      </c>
      <c r="B59" s="313" t="s">
        <v>578</v>
      </c>
      <c r="C59" s="390">
        <v>1</v>
      </c>
      <c r="D59" s="415" t="s">
        <v>254</v>
      </c>
      <c r="E59" s="536"/>
      <c r="F59" s="491">
        <f>F50</f>
        <v>0</v>
      </c>
    </row>
    <row r="60" spans="1:6" ht="15">
      <c r="A60" s="317" t="s">
        <v>528</v>
      </c>
      <c r="B60" s="313" t="s">
        <v>536</v>
      </c>
      <c r="C60" s="390">
        <v>1</v>
      </c>
      <c r="D60" s="415" t="s">
        <v>254</v>
      </c>
      <c r="E60" s="533"/>
      <c r="F60" s="493" t="str">
        <f t="shared" ref="F60:F68" si="3">IF(AND(ISNUMBER(C60),ISNUMBER(E60)),C60*E60," ")</f>
        <v xml:space="preserve"> </v>
      </c>
    </row>
    <row r="61" spans="1:6" ht="15">
      <c r="A61" s="317" t="s">
        <v>535</v>
      </c>
      <c r="B61" s="313" t="s">
        <v>594</v>
      </c>
      <c r="C61" s="390">
        <v>1</v>
      </c>
      <c r="D61" s="415" t="s">
        <v>254</v>
      </c>
      <c r="E61" s="533"/>
      <c r="F61" s="493" t="str">
        <f t="shared" si="3"/>
        <v xml:space="preserve"> </v>
      </c>
    </row>
    <row r="62" spans="1:6" ht="38.25">
      <c r="A62" s="317" t="s">
        <v>537</v>
      </c>
      <c r="B62" s="313" t="s">
        <v>540</v>
      </c>
      <c r="C62" s="390">
        <v>1</v>
      </c>
      <c r="D62" s="415" t="s">
        <v>254</v>
      </c>
      <c r="E62" s="533"/>
      <c r="F62" s="493" t="str">
        <f t="shared" si="3"/>
        <v xml:space="preserve"> </v>
      </c>
    </row>
    <row r="63" spans="1:6" ht="25.5">
      <c r="A63" s="317" t="s">
        <v>539</v>
      </c>
      <c r="B63" s="313" t="s">
        <v>595</v>
      </c>
      <c r="C63" s="390">
        <v>1</v>
      </c>
      <c r="D63" s="415" t="s">
        <v>254</v>
      </c>
      <c r="E63" s="533"/>
      <c r="F63" s="493" t="str">
        <f t="shared" si="3"/>
        <v xml:space="preserve"> </v>
      </c>
    </row>
    <row r="64" spans="1:6" ht="38.25">
      <c r="A64" s="317" t="s">
        <v>541</v>
      </c>
      <c r="B64" s="313" t="s">
        <v>596</v>
      </c>
      <c r="C64" s="390">
        <v>1</v>
      </c>
      <c r="D64" s="415" t="s">
        <v>254</v>
      </c>
      <c r="E64" s="533"/>
      <c r="F64" s="493" t="str">
        <f t="shared" si="3"/>
        <v xml:space="preserve"> </v>
      </c>
    </row>
    <row r="65" spans="1:6" ht="51">
      <c r="A65" s="317" t="s">
        <v>543</v>
      </c>
      <c r="B65" s="313" t="s">
        <v>597</v>
      </c>
      <c r="C65" s="390">
        <v>1</v>
      </c>
      <c r="D65" s="415" t="s">
        <v>254</v>
      </c>
      <c r="E65" s="533"/>
      <c r="F65" s="493" t="str">
        <f t="shared" si="3"/>
        <v xml:space="preserve"> </v>
      </c>
    </row>
    <row r="66" spans="1:6" ht="89.25">
      <c r="A66" s="317" t="s">
        <v>545</v>
      </c>
      <c r="B66" s="437" t="s">
        <v>598</v>
      </c>
      <c r="C66" s="438">
        <v>1</v>
      </c>
      <c r="D66" s="438" t="s">
        <v>254</v>
      </c>
      <c r="E66" s="533"/>
      <c r="F66" s="493" t="str">
        <f t="shared" si="3"/>
        <v xml:space="preserve"> </v>
      </c>
    </row>
    <row r="67" spans="1:6" ht="15">
      <c r="A67" s="317" t="s">
        <v>599</v>
      </c>
      <c r="B67" s="313" t="s">
        <v>600</v>
      </c>
      <c r="C67" s="438">
        <v>1</v>
      </c>
      <c r="D67" s="438" t="s">
        <v>254</v>
      </c>
      <c r="E67" s="533"/>
      <c r="F67" s="493" t="str">
        <f t="shared" si="3"/>
        <v xml:space="preserve"> </v>
      </c>
    </row>
    <row r="68" spans="1:6" ht="15">
      <c r="A68" s="317" t="s">
        <v>601</v>
      </c>
      <c r="B68" s="313" t="s">
        <v>602</v>
      </c>
      <c r="C68" s="438">
        <v>1</v>
      </c>
      <c r="D68" s="438" t="s">
        <v>254</v>
      </c>
      <c r="E68" s="533"/>
      <c r="F68" s="493" t="str">
        <f t="shared" si="3"/>
        <v xml:space="preserve"> </v>
      </c>
    </row>
    <row r="69" spans="1:6">
      <c r="A69" s="439"/>
      <c r="B69" s="440"/>
      <c r="C69" s="440"/>
      <c r="D69" s="441"/>
      <c r="E69" s="494"/>
      <c r="F69" s="494"/>
    </row>
    <row r="70" spans="1:6" s="314" customFormat="1" ht="22.5" customHeight="1">
      <c r="A70" s="442"/>
      <c r="B70" s="314" t="s">
        <v>547</v>
      </c>
      <c r="D70" s="315"/>
      <c r="E70" s="537" t="s">
        <v>548</v>
      </c>
      <c r="F70" s="495">
        <f>SUM(F56:F69)</f>
        <v>0</v>
      </c>
    </row>
    <row r="71" spans="1:6" s="314" customFormat="1" ht="15.6" customHeight="1">
      <c r="A71" s="442"/>
      <c r="D71" s="315"/>
      <c r="E71" s="443"/>
      <c r="F71" s="443"/>
    </row>
    <row r="72" spans="1:6" s="446" customFormat="1" ht="22.5" customHeight="1">
      <c r="A72" s="444"/>
      <c r="D72" s="452"/>
      <c r="E72" s="453"/>
      <c r="F72" s="445"/>
    </row>
    <row r="73" spans="1:6">
      <c r="B73" s="414"/>
      <c r="D73" s="336"/>
    </row>
    <row r="74" spans="1:6" s="377" customFormat="1" ht="14.25">
      <c r="A74" s="447"/>
      <c r="B74" s="448"/>
      <c r="C74" s="449"/>
      <c r="D74" s="450"/>
      <c r="E74" s="451"/>
      <c r="F74" s="451"/>
    </row>
  </sheetData>
  <sheetProtection algorithmName="SHA-512" hashValue="S0rpKy3R7XWEuiRrASvXP2vARLqHqR3JlPMn8POikKe6pnj4d58nn8l/jbQiN6Fk6UAmt6R0PXdRcUMtziLdeQ==" saltValue="EkV0JFQYrvzIfheaJsLkCw==" spinCount="100000" sheet="1" objects="1" scenarios="1"/>
  <conditionalFormatting sqref="E6:E8">
    <cfRule type="cellIs" dxfId="3"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2" manualBreakCount="2">
    <brk id="38"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141"/>
  <sheetViews>
    <sheetView showZeros="0" view="pageBreakPreview" topLeftCell="A110" zoomScaleNormal="100" zoomScaleSheetLayoutView="100" workbookViewId="0">
      <selection activeCell="F133" sqref="F133"/>
    </sheetView>
  </sheetViews>
  <sheetFormatPr defaultColWidth="9.140625" defaultRowHeight="12.75"/>
  <cols>
    <col min="1" max="1" width="4.5703125" style="303" bestFit="1" customWidth="1"/>
    <col min="2" max="2" width="45.7109375" style="304" customWidth="1"/>
    <col min="3" max="3" width="5.85546875" style="294" customWidth="1"/>
    <col min="4" max="4" width="6.28515625" style="457" customWidth="1"/>
    <col min="5" max="5" width="12.140625" style="295" customWidth="1"/>
    <col min="6" max="6" width="14" style="295" customWidth="1"/>
    <col min="7" max="16384" width="9.140625" style="294"/>
  </cols>
  <sheetData>
    <row r="1" spans="1:6" ht="14.1" customHeight="1">
      <c r="A1" s="292"/>
      <c r="B1" s="293"/>
    </row>
    <row r="2" spans="1:6" ht="32.25" customHeight="1">
      <c r="A2" s="296"/>
      <c r="B2" s="560" t="s">
        <v>422</v>
      </c>
      <c r="C2" s="560"/>
      <c r="D2" s="560"/>
      <c r="E2" s="300"/>
    </row>
    <row r="3" spans="1:6" ht="14.1" customHeight="1">
      <c r="A3" s="296"/>
      <c r="B3" s="301"/>
      <c r="C3" s="302"/>
      <c r="D3" s="458"/>
    </row>
    <row r="4" spans="1:6" ht="14.1" customHeight="1">
      <c r="E4" s="300"/>
      <c r="F4" s="300"/>
    </row>
    <row r="5" spans="1:6" s="308" customFormat="1" ht="16.5" customHeight="1">
      <c r="A5" s="305" t="s">
        <v>424</v>
      </c>
      <c r="B5" s="306" t="s">
        <v>425</v>
      </c>
      <c r="C5" s="305" t="s">
        <v>426</v>
      </c>
      <c r="D5" s="459" t="s">
        <v>427</v>
      </c>
      <c r="E5" s="307" t="s">
        <v>428</v>
      </c>
      <c r="F5" s="307" t="s">
        <v>429</v>
      </c>
    </row>
    <row r="6" spans="1:6" s="304" customFormat="1">
      <c r="A6" s="309"/>
      <c r="D6" s="460"/>
      <c r="E6" s="311" t="str">
        <f>IF(AND(ISNUMBER(#REF!),ISNUMBER(#REF!)),ROUND((#REF!*#REF!+#REF!*#REF!*#REF!)*(1+#REF!)*#REF!*#REF!*#REF!,2)," ")</f>
        <v xml:space="preserve"> </v>
      </c>
      <c r="F6" s="311" t="str">
        <f>IF(AND(ISNUMBER(C6),ISNUMBER(E6)),C6*E6," ")</f>
        <v xml:space="preserve"> </v>
      </c>
    </row>
    <row r="7" spans="1:6" s="314" customFormat="1">
      <c r="A7" s="312" t="s">
        <v>430</v>
      </c>
      <c r="B7" s="313" t="s">
        <v>431</v>
      </c>
      <c r="D7" s="319"/>
      <c r="E7" s="316"/>
      <c r="F7" s="316"/>
    </row>
    <row r="8" spans="1:6" s="314" customFormat="1">
      <c r="A8" s="317"/>
      <c r="B8" s="318"/>
      <c r="C8" s="319"/>
      <c r="D8" s="319"/>
      <c r="E8" s="320"/>
      <c r="F8" s="321"/>
    </row>
    <row r="9" spans="1:6" s="304" customFormat="1">
      <c r="A9" s="322"/>
      <c r="B9" s="323" t="s">
        <v>432</v>
      </c>
      <c r="C9" s="324"/>
      <c r="D9" s="402"/>
      <c r="E9" s="311" t="str">
        <f>IF(AND(ISNUMBER(#REF!),ISNUMBER(#REF!)),ROUND((#REF!*#REF!+#REF!*#REF!*#REF!)*(1+#REF!)*#REF!*#REF!*#REF!,2)," ")</f>
        <v xml:space="preserve"> </v>
      </c>
      <c r="F9" s="311"/>
    </row>
    <row r="10" spans="1:6" s="304" customFormat="1">
      <c r="A10" s="322"/>
      <c r="B10" s="325"/>
      <c r="C10" s="326"/>
      <c r="D10" s="402"/>
      <c r="E10" s="311" t="str">
        <f>IF(AND(ISNUMBER(#REF!),ISNUMBER(#REF!)),ROUND((#REF!*#REF!+#REF!*#REF!*#REF!)*(1+#REF!)*#REF!*#REF!*#REF!,2)," ")</f>
        <v xml:space="preserve"> </v>
      </c>
      <c r="F10" s="311"/>
    </row>
    <row r="11" spans="1:6" s="332" customFormat="1" ht="38.25">
      <c r="A11" s="328" t="s">
        <v>433</v>
      </c>
      <c r="B11" s="329" t="s">
        <v>434</v>
      </c>
      <c r="C11" s="330">
        <v>1</v>
      </c>
      <c r="D11" s="365" t="s">
        <v>287</v>
      </c>
      <c r="E11" s="545"/>
      <c r="F11" s="497" t="str">
        <f t="shared" ref="F11:F61" si="0">IF(AND(ISNUMBER(C11),ISNUMBER(E11)),C11*E11," ")</f>
        <v xml:space="preserve"> </v>
      </c>
    </row>
    <row r="12" spans="1:6" s="332" customFormat="1" ht="38.25">
      <c r="A12" s="328" t="s">
        <v>433</v>
      </c>
      <c r="B12" s="325" t="s">
        <v>435</v>
      </c>
      <c r="C12" s="330">
        <v>1</v>
      </c>
      <c r="D12" s="365" t="s">
        <v>287</v>
      </c>
      <c r="E12" s="545"/>
      <c r="F12" s="497" t="str">
        <f t="shared" si="0"/>
        <v xml:space="preserve"> </v>
      </c>
    </row>
    <row r="13" spans="1:6" s="332" customFormat="1" ht="25.5">
      <c r="A13" s="328" t="s">
        <v>433</v>
      </c>
      <c r="B13" s="325" t="s">
        <v>436</v>
      </c>
      <c r="C13" s="330">
        <v>1</v>
      </c>
      <c r="D13" s="365" t="s">
        <v>287</v>
      </c>
      <c r="E13" s="545"/>
      <c r="F13" s="497" t="str">
        <f t="shared" si="0"/>
        <v xml:space="preserve"> </v>
      </c>
    </row>
    <row r="14" spans="1:6" s="332" customFormat="1" ht="25.5">
      <c r="A14" s="328" t="s">
        <v>433</v>
      </c>
      <c r="B14" s="325" t="s">
        <v>437</v>
      </c>
      <c r="C14" s="330">
        <v>1</v>
      </c>
      <c r="D14" s="365" t="s">
        <v>287</v>
      </c>
      <c r="E14" s="545"/>
      <c r="F14" s="497" t="str">
        <f t="shared" si="0"/>
        <v xml:space="preserve"> </v>
      </c>
    </row>
    <row r="15" spans="1:6" s="332" customFormat="1" ht="25.5">
      <c r="A15" s="328" t="s">
        <v>433</v>
      </c>
      <c r="B15" s="325" t="s">
        <v>438</v>
      </c>
      <c r="C15" s="330">
        <v>1</v>
      </c>
      <c r="D15" s="365" t="s">
        <v>287</v>
      </c>
      <c r="E15" s="545"/>
      <c r="F15" s="497" t="str">
        <f t="shared" si="0"/>
        <v xml:space="preserve"> </v>
      </c>
    </row>
    <row r="16" spans="1:6" s="332" customFormat="1" ht="25.5">
      <c r="A16" s="328" t="s">
        <v>433</v>
      </c>
      <c r="B16" s="325" t="s">
        <v>439</v>
      </c>
      <c r="C16" s="330">
        <v>10</v>
      </c>
      <c r="D16" s="365" t="s">
        <v>287</v>
      </c>
      <c r="E16" s="545"/>
      <c r="F16" s="497" t="str">
        <f t="shared" si="0"/>
        <v xml:space="preserve"> </v>
      </c>
    </row>
    <row r="17" spans="1:6" s="332" customFormat="1" ht="25.5">
      <c r="A17" s="328" t="s">
        <v>433</v>
      </c>
      <c r="B17" s="325" t="s">
        <v>440</v>
      </c>
      <c r="C17" s="330">
        <v>2</v>
      </c>
      <c r="D17" s="365" t="s">
        <v>287</v>
      </c>
      <c r="E17" s="545"/>
      <c r="F17" s="497" t="str">
        <f t="shared" si="0"/>
        <v xml:space="preserve"> </v>
      </c>
    </row>
    <row r="18" spans="1:6" s="332" customFormat="1" ht="25.5">
      <c r="A18" s="328" t="s">
        <v>433</v>
      </c>
      <c r="B18" s="325" t="s">
        <v>441</v>
      </c>
      <c r="C18" s="330">
        <v>2</v>
      </c>
      <c r="D18" s="365" t="s">
        <v>287</v>
      </c>
      <c r="E18" s="545"/>
      <c r="F18" s="497" t="str">
        <f t="shared" si="0"/>
        <v xml:space="preserve"> </v>
      </c>
    </row>
    <row r="19" spans="1:6" s="332" customFormat="1">
      <c r="A19" s="328" t="s">
        <v>433</v>
      </c>
      <c r="B19" s="333" t="s">
        <v>442</v>
      </c>
      <c r="C19" s="330">
        <v>2</v>
      </c>
      <c r="D19" s="365" t="s">
        <v>6</v>
      </c>
      <c r="E19" s="545"/>
      <c r="F19" s="497" t="str">
        <f t="shared" si="0"/>
        <v xml:space="preserve"> </v>
      </c>
    </row>
    <row r="20" spans="1:6" s="338" customFormat="1" ht="25.5">
      <c r="A20" s="334" t="s">
        <v>433</v>
      </c>
      <c r="B20" s="335" t="s">
        <v>443</v>
      </c>
      <c r="C20" s="336">
        <v>1</v>
      </c>
      <c r="D20" s="461" t="s">
        <v>6</v>
      </c>
      <c r="E20" s="545"/>
      <c r="F20" s="497" t="str">
        <f t="shared" si="0"/>
        <v xml:space="preserve"> </v>
      </c>
    </row>
    <row r="21" spans="1:6" s="304" customFormat="1" ht="25.5">
      <c r="A21" s="328" t="s">
        <v>433</v>
      </c>
      <c r="B21" s="325" t="s">
        <v>444</v>
      </c>
      <c r="C21" s="330">
        <v>1</v>
      </c>
      <c r="D21" s="365" t="s">
        <v>287</v>
      </c>
      <c r="E21" s="545"/>
      <c r="F21" s="497" t="str">
        <f t="shared" si="0"/>
        <v xml:space="preserve"> </v>
      </c>
    </row>
    <row r="22" spans="1:6" s="332" customFormat="1">
      <c r="A22" s="328" t="s">
        <v>433</v>
      </c>
      <c r="B22" s="325" t="s">
        <v>445</v>
      </c>
      <c r="C22" s="330">
        <v>2</v>
      </c>
      <c r="D22" s="365" t="s">
        <v>287</v>
      </c>
      <c r="E22" s="545"/>
      <c r="F22" s="497" t="str">
        <f t="shared" si="0"/>
        <v xml:space="preserve"> </v>
      </c>
    </row>
    <row r="23" spans="1:6" s="332" customFormat="1" ht="25.5">
      <c r="A23" s="328" t="s">
        <v>433</v>
      </c>
      <c r="B23" s="325" t="s">
        <v>446</v>
      </c>
      <c r="C23" s="330">
        <v>1</v>
      </c>
      <c r="D23" s="365" t="s">
        <v>287</v>
      </c>
      <c r="E23" s="545"/>
      <c r="F23" s="497" t="str">
        <f t="shared" si="0"/>
        <v xml:space="preserve"> </v>
      </c>
    </row>
    <row r="24" spans="1:6" s="332" customFormat="1">
      <c r="A24" s="328" t="s">
        <v>433</v>
      </c>
      <c r="B24" s="325" t="s">
        <v>447</v>
      </c>
      <c r="C24" s="330">
        <v>1</v>
      </c>
      <c r="D24" s="365" t="s">
        <v>287</v>
      </c>
      <c r="E24" s="545"/>
      <c r="F24" s="497" t="str">
        <f t="shared" si="0"/>
        <v xml:space="preserve"> </v>
      </c>
    </row>
    <row r="25" spans="1:6" s="332" customFormat="1">
      <c r="A25" s="328" t="s">
        <v>433</v>
      </c>
      <c r="B25" s="333" t="s">
        <v>448</v>
      </c>
      <c r="C25" s="330">
        <v>1</v>
      </c>
      <c r="D25" s="365" t="s">
        <v>287</v>
      </c>
      <c r="E25" s="545"/>
      <c r="F25" s="497" t="str">
        <f t="shared" si="0"/>
        <v xml:space="preserve"> </v>
      </c>
    </row>
    <row r="26" spans="1:6" s="332" customFormat="1">
      <c r="A26" s="328" t="s">
        <v>433</v>
      </c>
      <c r="B26" s="333" t="s">
        <v>449</v>
      </c>
      <c r="C26" s="330">
        <v>1</v>
      </c>
      <c r="D26" s="365" t="s">
        <v>287</v>
      </c>
      <c r="E26" s="545"/>
      <c r="F26" s="497" t="str">
        <f t="shared" si="0"/>
        <v xml:space="preserve"> </v>
      </c>
    </row>
    <row r="27" spans="1:6" s="332" customFormat="1">
      <c r="A27" s="328" t="s">
        <v>433</v>
      </c>
      <c r="B27" s="325" t="s">
        <v>450</v>
      </c>
      <c r="C27" s="330">
        <v>1</v>
      </c>
      <c r="D27" s="365" t="s">
        <v>287</v>
      </c>
      <c r="E27" s="545"/>
      <c r="F27" s="497" t="str">
        <f t="shared" si="0"/>
        <v xml:space="preserve"> </v>
      </c>
    </row>
    <row r="28" spans="1:6" s="332" customFormat="1">
      <c r="A28" s="328" t="s">
        <v>433</v>
      </c>
      <c r="B28" s="325" t="s">
        <v>451</v>
      </c>
      <c r="C28" s="330">
        <v>1</v>
      </c>
      <c r="D28" s="365" t="s">
        <v>287</v>
      </c>
      <c r="E28" s="545"/>
      <c r="F28" s="497" t="str">
        <f t="shared" si="0"/>
        <v xml:space="preserve"> </v>
      </c>
    </row>
    <row r="29" spans="1:6" s="332" customFormat="1">
      <c r="A29" s="328" t="s">
        <v>433</v>
      </c>
      <c r="B29" s="325" t="s">
        <v>452</v>
      </c>
      <c r="C29" s="330">
        <v>1</v>
      </c>
      <c r="D29" s="365" t="s">
        <v>287</v>
      </c>
      <c r="E29" s="545"/>
      <c r="F29" s="497" t="str">
        <f t="shared" si="0"/>
        <v xml:space="preserve"> </v>
      </c>
    </row>
    <row r="30" spans="1:6" s="332" customFormat="1" ht="38.25">
      <c r="A30" s="328" t="s">
        <v>433</v>
      </c>
      <c r="B30" s="325" t="s">
        <v>453</v>
      </c>
      <c r="C30" s="330">
        <v>1</v>
      </c>
      <c r="D30" s="365" t="s">
        <v>287</v>
      </c>
      <c r="E30" s="545"/>
      <c r="F30" s="497" t="str">
        <f t="shared" si="0"/>
        <v xml:space="preserve"> </v>
      </c>
    </row>
    <row r="31" spans="1:6" s="332" customFormat="1">
      <c r="A31" s="328" t="s">
        <v>433</v>
      </c>
      <c r="B31" s="325" t="s">
        <v>454</v>
      </c>
      <c r="C31" s="330">
        <v>1</v>
      </c>
      <c r="D31" s="365" t="s">
        <v>287</v>
      </c>
      <c r="E31" s="545"/>
      <c r="F31" s="497" t="str">
        <f t="shared" si="0"/>
        <v xml:space="preserve"> </v>
      </c>
    </row>
    <row r="32" spans="1:6" s="332" customFormat="1">
      <c r="A32" s="328" t="s">
        <v>433</v>
      </c>
      <c r="B32" s="325" t="s">
        <v>455</v>
      </c>
      <c r="C32" s="330">
        <v>1</v>
      </c>
      <c r="D32" s="365" t="s">
        <v>287</v>
      </c>
      <c r="E32" s="545"/>
      <c r="F32" s="497" t="str">
        <f t="shared" si="0"/>
        <v xml:space="preserve"> </v>
      </c>
    </row>
    <row r="33" spans="1:21" s="339" customFormat="1" ht="38.25">
      <c r="A33" s="322" t="s">
        <v>433</v>
      </c>
      <c r="B33" s="325" t="s">
        <v>456</v>
      </c>
      <c r="C33" s="330">
        <v>2</v>
      </c>
      <c r="D33" s="365" t="s">
        <v>287</v>
      </c>
      <c r="E33" s="545"/>
      <c r="F33" s="497" t="str">
        <f t="shared" si="0"/>
        <v xml:space="preserve"> </v>
      </c>
    </row>
    <row r="34" spans="1:21" s="332" customFormat="1">
      <c r="A34" s="328" t="s">
        <v>433</v>
      </c>
      <c r="B34" s="325" t="s">
        <v>457</v>
      </c>
      <c r="C34" s="330">
        <v>1</v>
      </c>
      <c r="D34" s="365" t="s">
        <v>287</v>
      </c>
      <c r="E34" s="545"/>
      <c r="F34" s="497" t="str">
        <f t="shared" si="0"/>
        <v xml:space="preserve"> </v>
      </c>
    </row>
    <row r="35" spans="1:21" s="345" customFormat="1" ht="25.5">
      <c r="A35" s="340" t="s">
        <v>433</v>
      </c>
      <c r="B35" s="341" t="s">
        <v>458</v>
      </c>
      <c r="C35" s="342">
        <v>1</v>
      </c>
      <c r="D35" s="462" t="s">
        <v>287</v>
      </c>
      <c r="E35" s="545"/>
      <c r="F35" s="497" t="str">
        <f t="shared" si="0"/>
        <v xml:space="preserve"> </v>
      </c>
      <c r="G35" s="344"/>
      <c r="H35" s="344"/>
      <c r="I35" s="344"/>
      <c r="J35" s="344"/>
      <c r="K35" s="344"/>
      <c r="L35" s="344"/>
      <c r="M35" s="344"/>
      <c r="N35" s="344"/>
      <c r="O35" s="344"/>
      <c r="P35" s="344"/>
      <c r="Q35" s="344"/>
      <c r="R35" s="344"/>
      <c r="S35" s="344"/>
      <c r="T35" s="344"/>
      <c r="U35" s="344"/>
    </row>
    <row r="36" spans="1:21" s="345" customFormat="1" ht="25.5">
      <c r="A36" s="340" t="s">
        <v>433</v>
      </c>
      <c r="B36" s="341" t="s">
        <v>459</v>
      </c>
      <c r="C36" s="342">
        <v>1</v>
      </c>
      <c r="D36" s="462" t="s">
        <v>287</v>
      </c>
      <c r="E36" s="545"/>
      <c r="F36" s="497" t="str">
        <f t="shared" si="0"/>
        <v xml:space="preserve"> </v>
      </c>
      <c r="G36" s="344"/>
      <c r="H36" s="344"/>
      <c r="I36" s="344"/>
      <c r="J36" s="344"/>
      <c r="K36" s="344"/>
      <c r="L36" s="344"/>
      <c r="M36" s="344"/>
      <c r="N36" s="344"/>
      <c r="O36" s="344"/>
      <c r="P36" s="344"/>
      <c r="Q36" s="344"/>
      <c r="R36" s="344"/>
      <c r="S36" s="344"/>
      <c r="T36" s="344"/>
      <c r="U36" s="344"/>
    </row>
    <row r="37" spans="1:21" s="345" customFormat="1" ht="15">
      <c r="A37" s="340" t="s">
        <v>433</v>
      </c>
      <c r="B37" s="341" t="s">
        <v>460</v>
      </c>
      <c r="C37" s="342">
        <v>2</v>
      </c>
      <c r="D37" s="462" t="s">
        <v>287</v>
      </c>
      <c r="E37" s="545"/>
      <c r="F37" s="497" t="str">
        <f t="shared" si="0"/>
        <v xml:space="preserve"> </v>
      </c>
      <c r="G37" s="344"/>
      <c r="H37" s="344"/>
      <c r="I37" s="344"/>
      <c r="J37" s="344"/>
      <c r="K37" s="344"/>
      <c r="L37" s="344"/>
      <c r="M37" s="344"/>
      <c r="N37" s="344"/>
      <c r="O37" s="344"/>
      <c r="P37" s="344"/>
      <c r="Q37" s="344"/>
      <c r="R37" s="344"/>
      <c r="S37" s="344"/>
      <c r="T37" s="344"/>
      <c r="U37" s="344"/>
    </row>
    <row r="38" spans="1:21" s="332" customFormat="1">
      <c r="A38" s="328" t="s">
        <v>433</v>
      </c>
      <c r="B38" s="325" t="s">
        <v>461</v>
      </c>
      <c r="C38" s="330">
        <v>1</v>
      </c>
      <c r="D38" s="365" t="s">
        <v>287</v>
      </c>
      <c r="E38" s="545"/>
      <c r="F38" s="497" t="str">
        <f t="shared" si="0"/>
        <v xml:space="preserve"> </v>
      </c>
    </row>
    <row r="39" spans="1:21" s="338" customFormat="1" ht="51">
      <c r="A39" s="328" t="s">
        <v>433</v>
      </c>
      <c r="B39" s="335" t="s">
        <v>462</v>
      </c>
      <c r="C39" s="346">
        <v>1</v>
      </c>
      <c r="D39" s="461" t="s">
        <v>6</v>
      </c>
      <c r="E39" s="545"/>
      <c r="F39" s="497" t="str">
        <f t="shared" si="0"/>
        <v xml:space="preserve"> </v>
      </c>
    </row>
    <row r="40" spans="1:21" s="339" customFormat="1" ht="25.5">
      <c r="A40" s="322" t="s">
        <v>433</v>
      </c>
      <c r="B40" s="325" t="s">
        <v>463</v>
      </c>
      <c r="C40" s="330">
        <v>7</v>
      </c>
      <c r="D40" s="365" t="s">
        <v>287</v>
      </c>
      <c r="E40" s="545"/>
      <c r="F40" s="497" t="str">
        <f t="shared" si="0"/>
        <v xml:space="preserve"> </v>
      </c>
    </row>
    <row r="41" spans="1:21" s="332" customFormat="1" ht="25.5">
      <c r="A41" s="328" t="s">
        <v>433</v>
      </c>
      <c r="B41" s="325" t="s">
        <v>464</v>
      </c>
      <c r="C41" s="330">
        <v>6</v>
      </c>
      <c r="D41" s="365" t="s">
        <v>287</v>
      </c>
      <c r="E41" s="545"/>
      <c r="F41" s="497" t="str">
        <f t="shared" si="0"/>
        <v xml:space="preserve"> </v>
      </c>
    </row>
    <row r="42" spans="1:21" s="332" customFormat="1">
      <c r="A42" s="328" t="s">
        <v>433</v>
      </c>
      <c r="B42" s="325" t="s">
        <v>465</v>
      </c>
      <c r="C42" s="330">
        <v>1</v>
      </c>
      <c r="D42" s="365" t="s">
        <v>287</v>
      </c>
      <c r="E42" s="545"/>
      <c r="F42" s="497" t="str">
        <f t="shared" si="0"/>
        <v xml:space="preserve"> </v>
      </c>
    </row>
    <row r="43" spans="1:21" s="332" customFormat="1">
      <c r="A43" s="328" t="s">
        <v>433</v>
      </c>
      <c r="B43" s="325" t="s">
        <v>466</v>
      </c>
      <c r="C43" s="330">
        <v>1</v>
      </c>
      <c r="D43" s="365" t="s">
        <v>287</v>
      </c>
      <c r="E43" s="545"/>
      <c r="F43" s="497" t="str">
        <f t="shared" si="0"/>
        <v xml:space="preserve"> </v>
      </c>
    </row>
    <row r="44" spans="1:21" s="332" customFormat="1">
      <c r="A44" s="328" t="s">
        <v>433</v>
      </c>
      <c r="B44" s="325" t="s">
        <v>467</v>
      </c>
      <c r="C44" s="330">
        <v>1</v>
      </c>
      <c r="D44" s="365" t="s">
        <v>287</v>
      </c>
      <c r="E44" s="545"/>
      <c r="F44" s="497" t="str">
        <f t="shared" si="0"/>
        <v xml:space="preserve"> </v>
      </c>
    </row>
    <row r="45" spans="1:21" s="343" customFormat="1">
      <c r="A45" s="340"/>
      <c r="B45" s="341" t="s">
        <v>468</v>
      </c>
      <c r="C45" s="347"/>
      <c r="D45" s="462"/>
      <c r="E45" s="545"/>
      <c r="F45" s="497" t="str">
        <f t="shared" si="0"/>
        <v xml:space="preserve"> </v>
      </c>
    </row>
    <row r="46" spans="1:21" s="343" customFormat="1" ht="25.5">
      <c r="A46" s="322" t="s">
        <v>433</v>
      </c>
      <c r="B46" s="349" t="s">
        <v>469</v>
      </c>
      <c r="C46" s="347">
        <v>1</v>
      </c>
      <c r="D46" s="462" t="s">
        <v>287</v>
      </c>
      <c r="E46" s="545"/>
      <c r="F46" s="497" t="str">
        <f t="shared" si="0"/>
        <v xml:space="preserve"> </v>
      </c>
      <c r="G46" s="454"/>
    </row>
    <row r="47" spans="1:21" s="343" customFormat="1">
      <c r="A47" s="322" t="s">
        <v>433</v>
      </c>
      <c r="B47" s="351" t="s">
        <v>470</v>
      </c>
      <c r="C47" s="347">
        <v>1</v>
      </c>
      <c r="D47" s="462" t="s">
        <v>287</v>
      </c>
      <c r="E47" s="545"/>
      <c r="F47" s="497" t="str">
        <f t="shared" si="0"/>
        <v xml:space="preserve"> </v>
      </c>
    </row>
    <row r="48" spans="1:21" s="343" customFormat="1" ht="25.5">
      <c r="A48" s="322" t="s">
        <v>433</v>
      </c>
      <c r="B48" s="351" t="s">
        <v>471</v>
      </c>
      <c r="C48" s="347">
        <v>1</v>
      </c>
      <c r="D48" s="462" t="s">
        <v>287</v>
      </c>
      <c r="E48" s="545"/>
      <c r="F48" s="497" t="str">
        <f t="shared" si="0"/>
        <v xml:space="preserve"> </v>
      </c>
    </row>
    <row r="49" spans="1:8" s="343" customFormat="1">
      <c r="A49" s="322" t="s">
        <v>433</v>
      </c>
      <c r="B49" s="351" t="s">
        <v>472</v>
      </c>
      <c r="C49" s="347">
        <v>1</v>
      </c>
      <c r="D49" s="462" t="s">
        <v>287</v>
      </c>
      <c r="E49" s="545"/>
      <c r="F49" s="497" t="str">
        <f t="shared" si="0"/>
        <v xml:space="preserve"> </v>
      </c>
    </row>
    <row r="50" spans="1:8" s="343" customFormat="1" ht="63.75">
      <c r="A50" s="352" t="s">
        <v>433</v>
      </c>
      <c r="B50" s="353" t="s">
        <v>473</v>
      </c>
      <c r="C50" s="354">
        <v>1</v>
      </c>
      <c r="D50" s="432" t="s">
        <v>254</v>
      </c>
      <c r="E50" s="545"/>
      <c r="F50" s="497" t="str">
        <f t="shared" si="0"/>
        <v xml:space="preserve"> </v>
      </c>
      <c r="G50" s="454"/>
      <c r="H50" s="355"/>
    </row>
    <row r="51" spans="1:8" s="339" customFormat="1" ht="27" customHeight="1">
      <c r="A51" s="322" t="s">
        <v>433</v>
      </c>
      <c r="B51" s="325" t="s">
        <v>474</v>
      </c>
      <c r="C51" s="330">
        <v>1</v>
      </c>
      <c r="D51" s="365" t="s">
        <v>254</v>
      </c>
      <c r="E51" s="545"/>
      <c r="F51" s="497" t="str">
        <f t="shared" si="0"/>
        <v xml:space="preserve"> </v>
      </c>
    </row>
    <row r="52" spans="1:8" s="343" customFormat="1" ht="25.5">
      <c r="A52" s="356" t="s">
        <v>433</v>
      </c>
      <c r="B52" s="339" t="s">
        <v>475</v>
      </c>
      <c r="C52" s="347">
        <v>1</v>
      </c>
      <c r="D52" s="462" t="s">
        <v>254</v>
      </c>
      <c r="E52" s="545"/>
      <c r="F52" s="497" t="str">
        <f t="shared" si="0"/>
        <v xml:space="preserve"> </v>
      </c>
    </row>
    <row r="53" spans="1:8" s="343" customFormat="1" ht="25.5">
      <c r="A53" s="352" t="s">
        <v>433</v>
      </c>
      <c r="B53" s="353" t="s">
        <v>476</v>
      </c>
      <c r="C53" s="354">
        <v>1</v>
      </c>
      <c r="D53" s="432" t="s">
        <v>254</v>
      </c>
      <c r="E53" s="545"/>
      <c r="F53" s="497" t="str">
        <f t="shared" si="0"/>
        <v xml:space="preserve"> </v>
      </c>
      <c r="G53" s="355"/>
      <c r="H53" s="355"/>
    </row>
    <row r="54" spans="1:8" s="343" customFormat="1" ht="25.5">
      <c r="A54" s="322" t="s">
        <v>433</v>
      </c>
      <c r="B54" s="339" t="s">
        <v>477</v>
      </c>
      <c r="C54" s="347">
        <v>1</v>
      </c>
      <c r="D54" s="462" t="s">
        <v>287</v>
      </c>
      <c r="E54" s="545"/>
      <c r="F54" s="497" t="str">
        <f t="shared" si="0"/>
        <v xml:space="preserve"> </v>
      </c>
    </row>
    <row r="55" spans="1:8" s="343" customFormat="1" ht="38.25">
      <c r="A55" s="322" t="s">
        <v>433</v>
      </c>
      <c r="B55" s="339" t="s">
        <v>478</v>
      </c>
      <c r="C55" s="347">
        <v>1</v>
      </c>
      <c r="D55" s="462" t="s">
        <v>287</v>
      </c>
      <c r="E55" s="545"/>
      <c r="F55" s="497" t="str">
        <f t="shared" si="0"/>
        <v xml:space="preserve"> </v>
      </c>
    </row>
    <row r="56" spans="1:8" s="343" customFormat="1">
      <c r="A56" s="322" t="s">
        <v>433</v>
      </c>
      <c r="B56" s="339" t="s">
        <v>479</v>
      </c>
      <c r="C56" s="347">
        <v>1</v>
      </c>
      <c r="D56" s="462" t="s">
        <v>287</v>
      </c>
      <c r="E56" s="545"/>
      <c r="F56" s="497" t="str">
        <f t="shared" si="0"/>
        <v xml:space="preserve"> </v>
      </c>
    </row>
    <row r="57" spans="1:8" s="332" customFormat="1">
      <c r="A57" s="328" t="s">
        <v>433</v>
      </c>
      <c r="B57" s="325" t="s">
        <v>480</v>
      </c>
      <c r="C57" s="330">
        <v>8</v>
      </c>
      <c r="D57" s="365" t="s">
        <v>287</v>
      </c>
      <c r="E57" s="545"/>
      <c r="F57" s="497" t="str">
        <f t="shared" si="0"/>
        <v xml:space="preserve"> </v>
      </c>
    </row>
    <row r="58" spans="1:8" s="332" customFormat="1">
      <c r="A58" s="328" t="s">
        <v>433</v>
      </c>
      <c r="B58" s="325" t="s">
        <v>481</v>
      </c>
      <c r="C58" s="330">
        <v>8</v>
      </c>
      <c r="D58" s="365" t="s">
        <v>287</v>
      </c>
      <c r="E58" s="545"/>
      <c r="F58" s="497" t="str">
        <f t="shared" si="0"/>
        <v xml:space="preserve"> </v>
      </c>
    </row>
    <row r="59" spans="1:8" s="332" customFormat="1">
      <c r="A59" s="328" t="s">
        <v>433</v>
      </c>
      <c r="B59" s="325" t="s">
        <v>482</v>
      </c>
      <c r="C59" s="330">
        <v>40</v>
      </c>
      <c r="D59" s="365" t="s">
        <v>287</v>
      </c>
      <c r="E59" s="545"/>
      <c r="F59" s="497" t="str">
        <f t="shared" si="0"/>
        <v xml:space="preserve"> </v>
      </c>
    </row>
    <row r="60" spans="1:8" s="361" customFormat="1">
      <c r="A60" s="357" t="s">
        <v>433</v>
      </c>
      <c r="B60" s="358" t="s">
        <v>483</v>
      </c>
      <c r="C60" s="359">
        <v>2</v>
      </c>
      <c r="D60" s="359" t="s">
        <v>9</v>
      </c>
      <c r="E60" s="545"/>
      <c r="F60" s="497" t="str">
        <f t="shared" si="0"/>
        <v xml:space="preserve"> </v>
      </c>
    </row>
    <row r="61" spans="1:8" s="332" customFormat="1">
      <c r="A61" s="328" t="s">
        <v>433</v>
      </c>
      <c r="B61" s="325" t="s">
        <v>484</v>
      </c>
      <c r="C61" s="330">
        <v>1</v>
      </c>
      <c r="D61" s="365" t="s">
        <v>254</v>
      </c>
      <c r="E61" s="540"/>
      <c r="F61" s="497" t="str">
        <f t="shared" si="0"/>
        <v xml:space="preserve"> </v>
      </c>
    </row>
    <row r="62" spans="1:8" s="332" customFormat="1">
      <c r="A62" s="328"/>
      <c r="B62" s="325"/>
      <c r="C62" s="330"/>
      <c r="D62" s="365"/>
      <c r="E62" s="498"/>
      <c r="F62" s="509" t="s">
        <v>485</v>
      </c>
    </row>
    <row r="63" spans="1:8" s="304" customFormat="1">
      <c r="A63" s="328"/>
      <c r="B63" s="362" t="s">
        <v>486</v>
      </c>
      <c r="C63" s="363"/>
      <c r="D63" s="463"/>
      <c r="E63" s="539"/>
      <c r="F63" s="510">
        <f>SUM(F11:F61)</f>
        <v>0</v>
      </c>
    </row>
    <row r="64" spans="1:8" s="304" customFormat="1">
      <c r="A64" s="328"/>
      <c r="B64" s="323"/>
      <c r="C64" s="365"/>
      <c r="D64" s="365"/>
      <c r="E64" s="501" t="str">
        <f>IF(AND(ISNUMBER(#REF!),ISNUMBER(#REF!)),ROUND((#REF!*#REF!+#REF!*#REF!*#REF!)*(1+#REF!)*#REF!*#REF!*#REF!,2)," ")</f>
        <v xml:space="preserve"> </v>
      </c>
      <c r="F64" s="501"/>
    </row>
    <row r="65" spans="1:6" s="304" customFormat="1">
      <c r="A65" s="362" t="s">
        <v>487</v>
      </c>
      <c r="B65" s="366" t="s">
        <v>488</v>
      </c>
      <c r="C65" s="365"/>
      <c r="D65" s="365"/>
      <c r="E65" s="501" t="str">
        <f>IF(AND(ISNUMBER(#REF!),ISNUMBER(#REF!)),ROUND((#REF!*#REF!+#REF!*#REF!*#REF!)*(1+#REF!)*#REF!*#REF!*#REF!,2)," ")</f>
        <v xml:space="preserve"> </v>
      </c>
      <c r="F65" s="501"/>
    </row>
    <row r="66" spans="1:6" s="304" customFormat="1">
      <c r="A66" s="322"/>
      <c r="B66" s="323" t="s">
        <v>432</v>
      </c>
      <c r="C66" s="365"/>
      <c r="D66" s="365"/>
      <c r="E66" s="501" t="str">
        <f>IF(AND(ISNUMBER(#REF!),ISNUMBER(#REF!)),ROUND((#REF!*#REF!+#REF!*#REF!*#REF!)*(1+#REF!)*#REF!*#REF!*#REF!,2)," ")</f>
        <v xml:space="preserve"> </v>
      </c>
      <c r="F66" s="501"/>
    </row>
    <row r="67" spans="1:6" s="304" customFormat="1">
      <c r="A67" s="322"/>
      <c r="B67" s="323"/>
      <c r="C67" s="365"/>
      <c r="D67" s="365"/>
      <c r="E67" s="501"/>
      <c r="F67" s="501"/>
    </row>
    <row r="68" spans="1:6" s="371" customFormat="1">
      <c r="A68" s="367" t="s">
        <v>433</v>
      </c>
      <c r="B68" s="368" t="s">
        <v>489</v>
      </c>
      <c r="C68" s="369">
        <v>5</v>
      </c>
      <c r="D68" s="464" t="s">
        <v>9</v>
      </c>
      <c r="E68" s="545"/>
      <c r="F68" s="497" t="str">
        <f>IF(AND(ISNUMBER(C68),ISNUMBER(E68)),C68*E68," ")</f>
        <v xml:space="preserve"> </v>
      </c>
    </row>
    <row r="69" spans="1:6" s="371" customFormat="1">
      <c r="A69" s="367" t="s">
        <v>433</v>
      </c>
      <c r="B69" s="368" t="s">
        <v>490</v>
      </c>
      <c r="C69" s="369">
        <v>2</v>
      </c>
      <c r="D69" s="464" t="s">
        <v>9</v>
      </c>
      <c r="E69" s="545"/>
      <c r="F69" s="497" t="str">
        <f>IF(AND(ISNUMBER(C69),ISNUMBER(E69)),C69*E69," ")</f>
        <v xml:space="preserve"> </v>
      </c>
    </row>
    <row r="70" spans="1:6" s="304" customFormat="1">
      <c r="A70" s="367" t="s">
        <v>433</v>
      </c>
      <c r="B70" s="325" t="s">
        <v>491</v>
      </c>
      <c r="C70" s="365">
        <v>40</v>
      </c>
      <c r="D70" s="330" t="s">
        <v>9</v>
      </c>
      <c r="E70" s="545"/>
      <c r="F70" s="497" t="str">
        <f>IF(AND(ISNUMBER(C70),ISNUMBER(E70)),C70*E70," ")</f>
        <v xml:space="preserve"> </v>
      </c>
    </row>
    <row r="71" spans="1:6" s="304" customFormat="1">
      <c r="A71" s="367" t="s">
        <v>433</v>
      </c>
      <c r="B71" s="325" t="s">
        <v>492</v>
      </c>
      <c r="C71" s="365">
        <v>30</v>
      </c>
      <c r="D71" s="330" t="s">
        <v>9</v>
      </c>
      <c r="E71" s="545"/>
      <c r="F71" s="497" t="str">
        <f>IF(AND(ISNUMBER(C71),ISNUMBER(E71)),C71*E71," ")</f>
        <v xml:space="preserve"> </v>
      </c>
    </row>
    <row r="72" spans="1:6" s="304" customFormat="1">
      <c r="A72" s="367" t="s">
        <v>433</v>
      </c>
      <c r="B72" s="325" t="s">
        <v>493</v>
      </c>
      <c r="C72" s="365">
        <v>40</v>
      </c>
      <c r="D72" s="330" t="s">
        <v>9</v>
      </c>
      <c r="E72" s="545"/>
      <c r="F72" s="497" t="str">
        <f>IF(AND(ISNUMBER(C72),ISNUMBER(E72)),C72*E72," ")</f>
        <v xml:space="preserve"> </v>
      </c>
    </row>
    <row r="73" spans="1:6" s="304" customFormat="1">
      <c r="A73" s="328"/>
      <c r="B73" s="323"/>
      <c r="C73" s="365"/>
      <c r="D73" s="365"/>
      <c r="E73" s="501"/>
      <c r="F73" s="501"/>
    </row>
    <row r="74" spans="1:6" s="304" customFormat="1">
      <c r="A74" s="328"/>
      <c r="B74" s="362" t="s">
        <v>494</v>
      </c>
      <c r="C74" s="363"/>
      <c r="D74" s="463"/>
      <c r="E74" s="539"/>
      <c r="F74" s="499">
        <f>SUM(F68:F72)</f>
        <v>0</v>
      </c>
    </row>
    <row r="75" spans="1:6" s="304" customFormat="1">
      <c r="A75" s="328"/>
      <c r="B75" s="362"/>
      <c r="C75" s="363"/>
      <c r="D75" s="463"/>
      <c r="E75" s="499"/>
      <c r="F75" s="499"/>
    </row>
    <row r="76" spans="1:6" s="304" customFormat="1">
      <c r="A76" s="328"/>
      <c r="B76" s="323"/>
      <c r="C76" s="365"/>
      <c r="D76" s="365"/>
      <c r="E76" s="501"/>
      <c r="F76" s="501"/>
    </row>
    <row r="77" spans="1:6" s="304" customFormat="1">
      <c r="A77" s="362" t="s">
        <v>495</v>
      </c>
      <c r="B77" s="373" t="s">
        <v>496</v>
      </c>
      <c r="C77" s="365"/>
      <c r="D77" s="365"/>
      <c r="E77" s="501"/>
      <c r="F77" s="501"/>
    </row>
    <row r="78" spans="1:6" s="304" customFormat="1">
      <c r="A78" s="322"/>
      <c r="B78" s="323" t="s">
        <v>432</v>
      </c>
      <c r="C78" s="365"/>
      <c r="D78" s="365"/>
      <c r="E78" s="501"/>
      <c r="F78" s="501"/>
    </row>
    <row r="79" spans="1:6" s="304" customFormat="1">
      <c r="A79" s="322"/>
      <c r="B79" s="323"/>
      <c r="C79" s="365"/>
      <c r="D79" s="365"/>
      <c r="E79" s="501"/>
      <c r="F79" s="501"/>
    </row>
    <row r="80" spans="1:6" s="375" customFormat="1">
      <c r="A80" s="374" t="s">
        <v>433</v>
      </c>
      <c r="B80" s="375" t="s">
        <v>497</v>
      </c>
      <c r="C80" s="346">
        <v>15</v>
      </c>
      <c r="D80" s="330" t="s">
        <v>9</v>
      </c>
      <c r="E80" s="545"/>
      <c r="F80" s="497" t="str">
        <f t="shared" ref="F80:F101" si="1">IF(AND(ISNUMBER(C80),ISNUMBER(E80)),C80*E80," ")</f>
        <v xml:space="preserve"> </v>
      </c>
    </row>
    <row r="81" spans="1:8" s="375" customFormat="1">
      <c r="A81" s="374" t="s">
        <v>433</v>
      </c>
      <c r="B81" s="375" t="s">
        <v>498</v>
      </c>
      <c r="C81" s="346">
        <v>10</v>
      </c>
      <c r="D81" s="330" t="s">
        <v>9</v>
      </c>
      <c r="E81" s="545"/>
      <c r="F81" s="497" t="str">
        <f t="shared" si="1"/>
        <v xml:space="preserve"> </v>
      </c>
    </row>
    <row r="82" spans="1:8" s="304" customFormat="1" ht="25.5">
      <c r="A82" s="352" t="s">
        <v>433</v>
      </c>
      <c r="B82" s="353" t="s">
        <v>499</v>
      </c>
      <c r="C82" s="354">
        <v>1</v>
      </c>
      <c r="D82" s="432" t="s">
        <v>287</v>
      </c>
      <c r="E82" s="545"/>
      <c r="F82" s="497" t="str">
        <f t="shared" si="1"/>
        <v xml:space="preserve"> </v>
      </c>
      <c r="G82" s="355"/>
      <c r="H82" s="355"/>
    </row>
    <row r="83" spans="1:8" s="304" customFormat="1" ht="25.5">
      <c r="A83" s="352" t="s">
        <v>433</v>
      </c>
      <c r="B83" s="353" t="s">
        <v>500</v>
      </c>
      <c r="C83" s="354">
        <v>1</v>
      </c>
      <c r="D83" s="432" t="s">
        <v>287</v>
      </c>
      <c r="E83" s="545"/>
      <c r="F83" s="497" t="str">
        <f t="shared" si="1"/>
        <v xml:space="preserve"> </v>
      </c>
      <c r="G83" s="355"/>
      <c r="H83" s="355"/>
    </row>
    <row r="84" spans="1:8" s="304" customFormat="1">
      <c r="A84" s="352" t="s">
        <v>433</v>
      </c>
      <c r="B84" s="353" t="s">
        <v>501</v>
      </c>
      <c r="C84" s="354">
        <v>2</v>
      </c>
      <c r="D84" s="432" t="s">
        <v>287</v>
      </c>
      <c r="E84" s="545"/>
      <c r="F84" s="497" t="str">
        <f t="shared" si="1"/>
        <v xml:space="preserve"> </v>
      </c>
      <c r="G84" s="355"/>
      <c r="H84" s="355"/>
    </row>
    <row r="85" spans="1:8" s="304" customFormat="1" ht="25.5">
      <c r="A85" s="352" t="s">
        <v>433</v>
      </c>
      <c r="B85" s="353" t="s">
        <v>502</v>
      </c>
      <c r="C85" s="354">
        <v>4</v>
      </c>
      <c r="D85" s="432" t="s">
        <v>287</v>
      </c>
      <c r="E85" s="545"/>
      <c r="F85" s="497" t="str">
        <f t="shared" si="1"/>
        <v xml:space="preserve"> </v>
      </c>
      <c r="G85" s="355"/>
      <c r="H85" s="355"/>
    </row>
    <row r="86" spans="1:8" s="304" customFormat="1" ht="25.5">
      <c r="A86" s="352" t="s">
        <v>433</v>
      </c>
      <c r="B86" s="353" t="s">
        <v>503</v>
      </c>
      <c r="C86" s="354">
        <v>3</v>
      </c>
      <c r="D86" s="432" t="s">
        <v>9</v>
      </c>
      <c r="E86" s="545"/>
      <c r="F86" s="497" t="str">
        <f t="shared" si="1"/>
        <v xml:space="preserve"> </v>
      </c>
      <c r="G86" s="355"/>
      <c r="H86" s="355"/>
    </row>
    <row r="87" spans="1:8" s="304" customFormat="1" ht="25.5">
      <c r="A87" s="352" t="s">
        <v>433</v>
      </c>
      <c r="B87" s="353" t="s">
        <v>504</v>
      </c>
      <c r="C87" s="354">
        <v>3</v>
      </c>
      <c r="D87" s="432" t="s">
        <v>9</v>
      </c>
      <c r="E87" s="545"/>
      <c r="F87" s="497" t="str">
        <f t="shared" si="1"/>
        <v xml:space="preserve"> </v>
      </c>
      <c r="G87" s="355"/>
      <c r="H87" s="355"/>
    </row>
    <row r="88" spans="1:8" s="304" customFormat="1" ht="25.5">
      <c r="A88" s="352" t="s">
        <v>433</v>
      </c>
      <c r="B88" s="353" t="s">
        <v>505</v>
      </c>
      <c r="C88" s="354">
        <v>4</v>
      </c>
      <c r="D88" s="432" t="s">
        <v>9</v>
      </c>
      <c r="E88" s="545"/>
      <c r="F88" s="497" t="str">
        <f t="shared" si="1"/>
        <v xml:space="preserve"> </v>
      </c>
      <c r="G88" s="355"/>
      <c r="H88" s="355"/>
    </row>
    <row r="89" spans="1:8" s="304" customFormat="1">
      <c r="A89" s="352" t="s">
        <v>433</v>
      </c>
      <c r="B89" s="353" t="s">
        <v>506</v>
      </c>
      <c r="C89" s="354">
        <v>1</v>
      </c>
      <c r="D89" s="432" t="s">
        <v>287</v>
      </c>
      <c r="E89" s="545"/>
      <c r="F89" s="497" t="str">
        <f t="shared" si="1"/>
        <v xml:space="preserve"> </v>
      </c>
      <c r="G89" s="355"/>
      <c r="H89" s="355"/>
    </row>
    <row r="90" spans="1:8" s="304" customFormat="1">
      <c r="A90" s="352" t="s">
        <v>433</v>
      </c>
      <c r="B90" s="353" t="s">
        <v>507</v>
      </c>
      <c r="C90" s="354">
        <v>90</v>
      </c>
      <c r="D90" s="432" t="s">
        <v>9</v>
      </c>
      <c r="E90" s="545"/>
      <c r="F90" s="497" t="str">
        <f t="shared" si="1"/>
        <v xml:space="preserve"> </v>
      </c>
      <c r="G90" s="355"/>
      <c r="H90" s="355"/>
    </row>
    <row r="91" spans="1:8" s="304" customFormat="1">
      <c r="A91" s="352" t="s">
        <v>433</v>
      </c>
      <c r="B91" s="353" t="s">
        <v>508</v>
      </c>
      <c r="C91" s="354">
        <v>10</v>
      </c>
      <c r="D91" s="432" t="s">
        <v>254</v>
      </c>
      <c r="E91" s="545"/>
      <c r="F91" s="497" t="str">
        <f t="shared" si="1"/>
        <v xml:space="preserve"> </v>
      </c>
      <c r="G91" s="355"/>
      <c r="H91" s="355"/>
    </row>
    <row r="92" spans="1:8" s="371" customFormat="1">
      <c r="A92" s="367" t="s">
        <v>433</v>
      </c>
      <c r="B92" s="353" t="s">
        <v>509</v>
      </c>
      <c r="C92" s="369">
        <v>1</v>
      </c>
      <c r="D92" s="464" t="s">
        <v>287</v>
      </c>
      <c r="E92" s="545"/>
      <c r="F92" s="497" t="str">
        <f t="shared" si="1"/>
        <v xml:space="preserve"> </v>
      </c>
    </row>
    <row r="93" spans="1:8" s="304" customFormat="1">
      <c r="A93" s="367" t="s">
        <v>433</v>
      </c>
      <c r="B93" s="325" t="s">
        <v>510</v>
      </c>
      <c r="C93" s="365">
        <v>20</v>
      </c>
      <c r="D93" s="330" t="s">
        <v>287</v>
      </c>
      <c r="E93" s="545"/>
      <c r="F93" s="497" t="str">
        <f t="shared" si="1"/>
        <v xml:space="preserve"> </v>
      </c>
    </row>
    <row r="94" spans="1:8" s="304" customFormat="1" ht="25.5">
      <c r="A94" s="367" t="s">
        <v>433</v>
      </c>
      <c r="B94" s="376" t="s">
        <v>511</v>
      </c>
      <c r="C94" s="377">
        <v>20</v>
      </c>
      <c r="D94" s="465" t="s">
        <v>287</v>
      </c>
      <c r="E94" s="545"/>
      <c r="F94" s="497" t="str">
        <f t="shared" si="1"/>
        <v xml:space="preserve"> </v>
      </c>
      <c r="G94" s="377"/>
    </row>
    <row r="95" spans="1:8" s="304" customFormat="1">
      <c r="A95" s="367" t="s">
        <v>433</v>
      </c>
      <c r="B95" s="325" t="s">
        <v>512</v>
      </c>
      <c r="C95" s="365">
        <v>1</v>
      </c>
      <c r="D95" s="330" t="s">
        <v>344</v>
      </c>
      <c r="E95" s="545"/>
      <c r="F95" s="497" t="str">
        <f t="shared" si="1"/>
        <v xml:space="preserve"> </v>
      </c>
    </row>
    <row r="96" spans="1:8" s="304" customFormat="1" ht="25.5">
      <c r="A96" s="367" t="s">
        <v>433</v>
      </c>
      <c r="B96" s="375" t="s">
        <v>513</v>
      </c>
      <c r="C96" s="365">
        <v>10</v>
      </c>
      <c r="D96" s="330" t="s">
        <v>287</v>
      </c>
      <c r="E96" s="545"/>
      <c r="F96" s="497" t="str">
        <f t="shared" si="1"/>
        <v xml:space="preserve"> </v>
      </c>
    </row>
    <row r="97" spans="1:8" s="304" customFormat="1" ht="25.5">
      <c r="A97" s="367" t="s">
        <v>433</v>
      </c>
      <c r="B97" s="375" t="s">
        <v>514</v>
      </c>
      <c r="C97" s="365">
        <v>6</v>
      </c>
      <c r="D97" s="330" t="s">
        <v>287</v>
      </c>
      <c r="E97" s="545"/>
      <c r="F97" s="497" t="str">
        <f t="shared" si="1"/>
        <v xml:space="preserve"> </v>
      </c>
    </row>
    <row r="98" spans="1:8" s="304" customFormat="1" ht="25.5">
      <c r="A98" s="352" t="s">
        <v>433</v>
      </c>
      <c r="B98" s="353" t="s">
        <v>515</v>
      </c>
      <c r="C98" s="354">
        <v>1</v>
      </c>
      <c r="D98" s="432" t="s">
        <v>6</v>
      </c>
      <c r="E98" s="545"/>
      <c r="F98" s="497" t="str">
        <f t="shared" si="1"/>
        <v xml:space="preserve"> </v>
      </c>
      <c r="G98" s="355"/>
      <c r="H98" s="355"/>
    </row>
    <row r="99" spans="1:8" s="343" customFormat="1" ht="49.5" customHeight="1">
      <c r="A99" s="328" t="s">
        <v>433</v>
      </c>
      <c r="B99" s="339" t="s">
        <v>516</v>
      </c>
      <c r="C99" s="347">
        <v>1</v>
      </c>
      <c r="D99" s="462" t="s">
        <v>254</v>
      </c>
      <c r="E99" s="545"/>
      <c r="F99" s="497" t="str">
        <f t="shared" si="1"/>
        <v xml:space="preserve"> </v>
      </c>
    </row>
    <row r="100" spans="1:8" s="343" customFormat="1">
      <c r="A100" s="328" t="s">
        <v>433</v>
      </c>
      <c r="B100" s="339" t="s">
        <v>517</v>
      </c>
      <c r="C100" s="347">
        <v>2</v>
      </c>
      <c r="D100" s="462" t="s">
        <v>254</v>
      </c>
      <c r="E100" s="545"/>
      <c r="F100" s="497" t="str">
        <f t="shared" si="1"/>
        <v xml:space="preserve"> </v>
      </c>
    </row>
    <row r="101" spans="1:8" s="304" customFormat="1">
      <c r="A101" s="367" t="s">
        <v>433</v>
      </c>
      <c r="B101" s="325" t="s">
        <v>518</v>
      </c>
      <c r="C101" s="365">
        <v>1</v>
      </c>
      <c r="D101" s="330" t="s">
        <v>254</v>
      </c>
      <c r="E101" s="541"/>
      <c r="F101" s="497" t="str">
        <f t="shared" si="1"/>
        <v xml:space="preserve"> </v>
      </c>
    </row>
    <row r="102" spans="1:8" s="304" customFormat="1">
      <c r="A102" s="328"/>
      <c r="B102" s="323"/>
      <c r="C102" s="365"/>
      <c r="D102" s="365"/>
      <c r="E102" s="501"/>
      <c r="F102" s="501"/>
    </row>
    <row r="103" spans="1:8" s="304" customFormat="1">
      <c r="A103" s="322"/>
      <c r="B103" s="362" t="s">
        <v>519</v>
      </c>
      <c r="C103" s="363"/>
      <c r="D103" s="463"/>
      <c r="E103" s="539"/>
      <c r="F103" s="499">
        <f>SUM(F80:F101)</f>
        <v>0</v>
      </c>
    </row>
    <row r="104" spans="1:8" s="304" customFormat="1">
      <c r="A104" s="322"/>
      <c r="B104" s="362"/>
      <c r="C104" s="363"/>
      <c r="D104" s="463"/>
      <c r="E104" s="499"/>
      <c r="F104" s="499"/>
    </row>
    <row r="105" spans="1:8" s="304" customFormat="1">
      <c r="A105" s="322"/>
      <c r="B105" s="362"/>
      <c r="C105" s="363"/>
      <c r="D105" s="463"/>
      <c r="E105" s="499"/>
      <c r="F105" s="499"/>
    </row>
    <row r="106" spans="1:8" s="382" customFormat="1">
      <c r="A106" s="378" t="s">
        <v>520</v>
      </c>
      <c r="B106" s="379" t="s">
        <v>521</v>
      </c>
      <c r="C106" s="380"/>
      <c r="D106" s="466"/>
      <c r="E106" s="501" t="str">
        <f>IF(AND(ISNUMBER(#REF!),ISNUMBER(#REF!)),ROUND((#REF!*#REF!+#REF!*#REF!*#REF!)*#REF!*#REF!,0)," ")</f>
        <v xml:space="preserve"> </v>
      </c>
      <c r="F106" s="501"/>
    </row>
    <row r="107" spans="1:8" s="382" customFormat="1">
      <c r="A107" s="378"/>
      <c r="B107" s="379"/>
      <c r="C107" s="380"/>
      <c r="D107" s="466"/>
      <c r="E107" s="501"/>
      <c r="F107" s="501"/>
    </row>
    <row r="108" spans="1:8" s="304" customFormat="1">
      <c r="A108" s="383" t="s">
        <v>433</v>
      </c>
      <c r="B108" s="375" t="s">
        <v>522</v>
      </c>
      <c r="C108" s="369">
        <v>1</v>
      </c>
      <c r="D108" s="386" t="s">
        <v>254</v>
      </c>
      <c r="E108" s="545"/>
      <c r="F108" s="497" t="str">
        <f>IF(AND(ISNUMBER(C108),ISNUMBER(E108)),C108*E108," ")</f>
        <v xml:space="preserve"> </v>
      </c>
    </row>
    <row r="109" spans="1:8" s="304" customFormat="1">
      <c r="A109" s="383" t="s">
        <v>433</v>
      </c>
      <c r="B109" s="375" t="s">
        <v>523</v>
      </c>
      <c r="C109" s="369">
        <v>2</v>
      </c>
      <c r="D109" s="386" t="s">
        <v>254</v>
      </c>
      <c r="E109" s="545"/>
      <c r="F109" s="497" t="str">
        <f>IF(AND(ISNUMBER(C109),ISNUMBER(E109)),C109*E109," ")</f>
        <v xml:space="preserve"> </v>
      </c>
    </row>
    <row r="110" spans="1:8" s="371" customFormat="1">
      <c r="A110" s="385" t="s">
        <v>433</v>
      </c>
      <c r="B110" s="375" t="s">
        <v>524</v>
      </c>
      <c r="C110" s="369">
        <v>1</v>
      </c>
      <c r="D110" s="386" t="s">
        <v>254</v>
      </c>
      <c r="E110" s="545"/>
      <c r="F110" s="497" t="str">
        <f>IF(AND(ISNUMBER(C110),ISNUMBER(E110)),C110*E110," ")</f>
        <v xml:space="preserve"> </v>
      </c>
    </row>
    <row r="111" spans="1:8" s="371" customFormat="1">
      <c r="A111" s="385" t="s">
        <v>433</v>
      </c>
      <c r="B111" s="375" t="s">
        <v>525</v>
      </c>
      <c r="C111" s="369">
        <v>4</v>
      </c>
      <c r="D111" s="386" t="s">
        <v>254</v>
      </c>
      <c r="E111" s="545"/>
      <c r="F111" s="497" t="str">
        <f>IF(AND(ISNUMBER(C111),ISNUMBER(E111)),C111*E111," ")</f>
        <v xml:space="preserve"> </v>
      </c>
    </row>
    <row r="112" spans="1:8" s="371" customFormat="1">
      <c r="A112" s="385" t="s">
        <v>433</v>
      </c>
      <c r="B112" s="375" t="s">
        <v>526</v>
      </c>
      <c r="C112" s="386">
        <v>1</v>
      </c>
      <c r="D112" s="386" t="s">
        <v>254</v>
      </c>
      <c r="E112" s="545"/>
      <c r="F112" s="497" t="str">
        <f>IF(AND(ISNUMBER(C112),ISNUMBER(E112)),C112*E112," ")</f>
        <v xml:space="preserve"> </v>
      </c>
    </row>
    <row r="113" spans="1:6" s="304" customFormat="1">
      <c r="A113" s="385"/>
      <c r="B113" s="368"/>
      <c r="C113" s="369"/>
      <c r="D113" s="464"/>
      <c r="E113" s="501"/>
      <c r="F113" s="501"/>
    </row>
    <row r="114" spans="1:6" s="382" customFormat="1">
      <c r="A114" s="378"/>
      <c r="B114" s="387" t="s">
        <v>527</v>
      </c>
      <c r="C114" s="380"/>
      <c r="D114" s="466"/>
      <c r="E114" s="541" t="str">
        <f>IF(AND(ISNUMBER(#REF!),ISNUMBER(#REF!)),ROUND((#REF!*#REF!+#REF!*#REF!*#REF!)*#REF!*#REF!,0)," ")</f>
        <v xml:space="preserve"> </v>
      </c>
      <c r="F114" s="499">
        <f>SUM(F108:F112)</f>
        <v>0</v>
      </c>
    </row>
    <row r="115" spans="1:6" s="382" customFormat="1">
      <c r="A115" s="378"/>
      <c r="B115" s="387"/>
      <c r="C115" s="380"/>
      <c r="D115" s="466"/>
      <c r="E115" s="501"/>
      <c r="F115" s="499"/>
    </row>
    <row r="116" spans="1:6" s="390" customFormat="1">
      <c r="A116" s="317" t="s">
        <v>528</v>
      </c>
      <c r="B116" s="313" t="s">
        <v>529</v>
      </c>
      <c r="C116" s="388"/>
      <c r="D116" s="388"/>
      <c r="E116" s="502"/>
      <c r="F116" s="502"/>
    </row>
    <row r="117" spans="1:6" s="336" customFormat="1">
      <c r="A117" s="391"/>
      <c r="B117" s="335"/>
      <c r="C117" s="346"/>
      <c r="D117" s="346"/>
      <c r="E117" s="498"/>
      <c r="F117" s="498"/>
    </row>
    <row r="118" spans="1:6" s="336" customFormat="1">
      <c r="A118" s="394" t="s">
        <v>433</v>
      </c>
      <c r="B118" s="335" t="s">
        <v>530</v>
      </c>
      <c r="C118" s="346">
        <v>1</v>
      </c>
      <c r="D118" s="346" t="s">
        <v>254</v>
      </c>
      <c r="E118" s="545"/>
      <c r="F118" s="497" t="str">
        <f>IF(AND(ISNUMBER(C118),ISNUMBER(E118)),C118*E118," ")</f>
        <v xml:space="preserve"> </v>
      </c>
    </row>
    <row r="119" spans="1:6" s="336" customFormat="1" ht="25.5">
      <c r="A119" s="394" t="s">
        <v>433</v>
      </c>
      <c r="B119" s="335" t="s">
        <v>531</v>
      </c>
      <c r="C119" s="346">
        <v>1</v>
      </c>
      <c r="D119" s="346" t="s">
        <v>254</v>
      </c>
      <c r="E119" s="545"/>
      <c r="F119" s="497" t="str">
        <f>IF(AND(ISNUMBER(C119),ISNUMBER(E119)),C119*E119," ")</f>
        <v xml:space="preserve"> </v>
      </c>
    </row>
    <row r="120" spans="1:6" s="335" customFormat="1" ht="25.5">
      <c r="A120" s="391" t="s">
        <v>433</v>
      </c>
      <c r="B120" s="335" t="s">
        <v>532</v>
      </c>
      <c r="C120" s="365">
        <v>2</v>
      </c>
      <c r="D120" s="330" t="s">
        <v>9</v>
      </c>
      <c r="E120" s="545"/>
      <c r="F120" s="497" t="str">
        <f>IF(AND(ISNUMBER(C120),ISNUMBER(E120)),C120*E120," ")</f>
        <v xml:space="preserve"> </v>
      </c>
    </row>
    <row r="121" spans="1:6" s="336" customFormat="1">
      <c r="A121" s="391"/>
      <c r="B121" s="335"/>
      <c r="C121" s="346"/>
      <c r="D121" s="346"/>
      <c r="E121" s="498"/>
      <c r="F121" s="498"/>
    </row>
    <row r="122" spans="1:6" s="390" customFormat="1">
      <c r="A122" s="317"/>
      <c r="B122" s="318" t="s">
        <v>533</v>
      </c>
      <c r="C122" s="388"/>
      <c r="D122" s="388"/>
      <c r="E122" s="542"/>
      <c r="F122" s="503">
        <f>SUM(F118:F120)</f>
        <v>0</v>
      </c>
    </row>
    <row r="123" spans="1:6" s="304" customFormat="1">
      <c r="A123" s="322"/>
      <c r="B123" s="323"/>
      <c r="C123" s="365"/>
      <c r="D123" s="365"/>
      <c r="E123" s="501"/>
      <c r="F123" s="501"/>
    </row>
    <row r="124" spans="1:6" s="304" customFormat="1" ht="15">
      <c r="A124" s="322"/>
      <c r="B124" s="396" t="s">
        <v>13</v>
      </c>
      <c r="C124" s="365"/>
      <c r="D124" s="365"/>
      <c r="E124" s="501"/>
      <c r="F124" s="501"/>
    </row>
    <row r="125" spans="1:6" s="304" customFormat="1">
      <c r="A125" s="322"/>
      <c r="B125" s="323"/>
      <c r="C125" s="365"/>
      <c r="D125" s="365"/>
      <c r="E125" s="501" t="str">
        <f>IF(AND(ISNUMBER(#REF!),ISNUMBER(#REF!)),ROUND((#REF!*#REF!+#REF!*#REF!*#REF!)*(1+#REF!)*#REF!*#REF!*#REF!,2)," ")</f>
        <v xml:space="preserve"> </v>
      </c>
      <c r="F125" s="501"/>
    </row>
    <row r="126" spans="1:6" s="304" customFormat="1">
      <c r="A126" s="362" t="s">
        <v>430</v>
      </c>
      <c r="B126" s="366" t="s">
        <v>534</v>
      </c>
      <c r="C126" s="380">
        <v>1</v>
      </c>
      <c r="D126" s="467" t="s">
        <v>254</v>
      </c>
      <c r="E126" s="541"/>
      <c r="F126" s="499">
        <f>F63</f>
        <v>0</v>
      </c>
    </row>
    <row r="127" spans="1:6" s="304" customFormat="1">
      <c r="A127" s="362" t="s">
        <v>487</v>
      </c>
      <c r="B127" s="366" t="s">
        <v>488</v>
      </c>
      <c r="C127" s="380">
        <v>1</v>
      </c>
      <c r="D127" s="467" t="s">
        <v>254</v>
      </c>
      <c r="E127" s="541"/>
      <c r="F127" s="499">
        <f>F74</f>
        <v>0</v>
      </c>
    </row>
    <row r="128" spans="1:6" s="304" customFormat="1" ht="25.5">
      <c r="A128" s="362" t="s">
        <v>495</v>
      </c>
      <c r="B128" s="398" t="s">
        <v>496</v>
      </c>
      <c r="C128" s="380">
        <v>1</v>
      </c>
      <c r="D128" s="467" t="s">
        <v>254</v>
      </c>
      <c r="E128" s="541"/>
      <c r="F128" s="499">
        <f>F103</f>
        <v>0</v>
      </c>
    </row>
    <row r="129" spans="1:6" s="304" customFormat="1">
      <c r="A129" s="362" t="s">
        <v>520</v>
      </c>
      <c r="B129" s="366" t="s">
        <v>521</v>
      </c>
      <c r="C129" s="380">
        <v>1</v>
      </c>
      <c r="D129" s="467" t="s">
        <v>254</v>
      </c>
      <c r="E129" s="541"/>
      <c r="F129" s="499">
        <f>F114</f>
        <v>0</v>
      </c>
    </row>
    <row r="130" spans="1:6" s="304" customFormat="1">
      <c r="A130" s="362" t="s">
        <v>528</v>
      </c>
      <c r="B130" s="366" t="s">
        <v>529</v>
      </c>
      <c r="C130" s="380">
        <v>1</v>
      </c>
      <c r="D130" s="467" t="s">
        <v>254</v>
      </c>
      <c r="E130" s="541"/>
      <c r="F130" s="499">
        <f>F122</f>
        <v>0</v>
      </c>
    </row>
    <row r="131" spans="1:6" s="304" customFormat="1">
      <c r="A131" s="362" t="s">
        <v>535</v>
      </c>
      <c r="B131" s="399" t="s">
        <v>536</v>
      </c>
      <c r="C131" s="380">
        <v>1</v>
      </c>
      <c r="D131" s="467" t="s">
        <v>254</v>
      </c>
      <c r="E131" s="543"/>
      <c r="F131" s="497" t="str">
        <f t="shared" ref="F131:F136" si="2">IF(AND(ISNUMBER(C131),ISNUMBER(E131)),C131*E131," ")</f>
        <v xml:space="preserve"> </v>
      </c>
    </row>
    <row r="132" spans="1:6" s="304" customFormat="1">
      <c r="A132" s="362" t="s">
        <v>537</v>
      </c>
      <c r="B132" s="399" t="s">
        <v>538</v>
      </c>
      <c r="C132" s="380">
        <v>1</v>
      </c>
      <c r="D132" s="467" t="s">
        <v>254</v>
      </c>
      <c r="E132" s="543"/>
      <c r="F132" s="497" t="str">
        <f t="shared" si="2"/>
        <v xml:space="preserve"> </v>
      </c>
    </row>
    <row r="133" spans="1:6" s="304" customFormat="1" ht="38.25">
      <c r="A133" s="362" t="s">
        <v>539</v>
      </c>
      <c r="B133" s="399" t="s">
        <v>540</v>
      </c>
      <c r="C133" s="380">
        <v>1</v>
      </c>
      <c r="D133" s="467" t="s">
        <v>254</v>
      </c>
      <c r="E133" s="543"/>
      <c r="F133" s="497" t="str">
        <f t="shared" si="2"/>
        <v xml:space="preserve"> </v>
      </c>
    </row>
    <row r="134" spans="1:6" s="304" customFormat="1" ht="89.25">
      <c r="A134" s="362" t="s">
        <v>541</v>
      </c>
      <c r="B134" s="399" t="s">
        <v>542</v>
      </c>
      <c r="C134" s="380">
        <v>1</v>
      </c>
      <c r="D134" s="467" t="s">
        <v>254</v>
      </c>
      <c r="E134" s="543"/>
      <c r="F134" s="497" t="str">
        <f t="shared" si="2"/>
        <v xml:space="preserve"> </v>
      </c>
    </row>
    <row r="135" spans="1:6" s="304" customFormat="1">
      <c r="A135" s="362" t="s">
        <v>543</v>
      </c>
      <c r="B135" s="399" t="s">
        <v>544</v>
      </c>
      <c r="C135" s="380">
        <v>1</v>
      </c>
      <c r="D135" s="467" t="s">
        <v>254</v>
      </c>
      <c r="E135" s="543"/>
      <c r="F135" s="497" t="str">
        <f t="shared" si="2"/>
        <v xml:space="preserve"> </v>
      </c>
    </row>
    <row r="136" spans="1:6" s="304" customFormat="1">
      <c r="A136" s="362" t="s">
        <v>545</v>
      </c>
      <c r="B136" s="399" t="s">
        <v>546</v>
      </c>
      <c r="C136" s="380">
        <v>1</v>
      </c>
      <c r="D136" s="467" t="s">
        <v>254</v>
      </c>
      <c r="E136" s="543"/>
      <c r="F136" s="497" t="str">
        <f t="shared" si="2"/>
        <v xml:space="preserve"> </v>
      </c>
    </row>
    <row r="137" spans="1:6" s="304" customFormat="1">
      <c r="A137" s="400"/>
      <c r="B137" s="401"/>
      <c r="C137" s="402"/>
      <c r="D137" s="468"/>
      <c r="E137" s="504"/>
      <c r="F137" s="505"/>
    </row>
    <row r="138" spans="1:6" s="304" customFormat="1">
      <c r="A138" s="404"/>
      <c r="B138" s="405"/>
      <c r="C138" s="405"/>
      <c r="D138" s="469"/>
      <c r="E138" s="506" t="str">
        <f>IF(AND(ISNUMBER(#REF!),ISNUMBER(#REF!)),ROUND((#REF!*#REF!+#REF!*#REF!*#REF!)*(1+#REF!)*#REF!*#REF!*#REF!,2)," ")</f>
        <v xml:space="preserve"> </v>
      </c>
      <c r="F138" s="506"/>
    </row>
    <row r="139" spans="1:6" s="382" customFormat="1" ht="22.5" customHeight="1">
      <c r="A139" s="407"/>
      <c r="B139" s="382" t="s">
        <v>547</v>
      </c>
      <c r="D139" s="470"/>
      <c r="E139" s="544" t="s">
        <v>548</v>
      </c>
      <c r="F139" s="507">
        <f>SUM(F126:F136)</f>
        <v>0</v>
      </c>
    </row>
    <row r="140" spans="1:6" s="304" customFormat="1">
      <c r="A140" s="309"/>
      <c r="D140" s="460"/>
      <c r="E140" s="311" t="str">
        <f>IF(AND(ISNUMBER(#REF!),ISNUMBER(#REF!)),ROUND((#REF!*#REF!+#REF!*#REF!*#REF!)*(1+#REF!)*#REF!*#REF!*#REF!,2)," ")</f>
        <v xml:space="preserve"> </v>
      </c>
      <c r="F140" s="311" t="str">
        <f>IF(AND(ISNUMBER(C140),ISNUMBER(E140)),C140*E140," ")</f>
        <v xml:space="preserve"> </v>
      </c>
    </row>
    <row r="141" spans="1:6" s="304" customFormat="1">
      <c r="A141" s="309"/>
      <c r="D141" s="460"/>
      <c r="E141" s="311" t="str">
        <f>IF(AND(ISNUMBER(#REF!),ISNUMBER(#REF!)),ROUND((#REF!*#REF!+#REF!*#REF!*#REF!)*(1+#REF!)*#REF!*#REF!*#REF!,2)," ")</f>
        <v xml:space="preserve"> </v>
      </c>
      <c r="F141" s="311" t="str">
        <f>IF(AND(ISNUMBER(C141),ISNUMBER(E141)),C141*E141," ")</f>
        <v xml:space="preserve"> </v>
      </c>
    </row>
  </sheetData>
  <sheetProtection algorithmName="SHA-512" hashValue="awk3avY8mmVqcleCJFLyuWgQN9jQqaTpmC5L2xhHuslNDrw/pNIRTlny9fiAcwXMAASbf4bZiv5VedP1JamiiQ==" saltValue="e3RX924Lavd8eTcpvLz2Yg==" spinCount="100000" sheet="1" objects="1" scenarios="1"/>
  <mergeCells count="1">
    <mergeCell ref="B2:D2"/>
  </mergeCells>
  <conditionalFormatting sqref="E137:E138 E140:E64146 E1:E6">
    <cfRule type="cellIs" dxfId="2" priority="3" stopIfTrue="1" operator="equal">
      <formula>F1</formula>
    </cfRule>
  </conditionalFormatting>
  <conditionalFormatting sqref="E9:E10">
    <cfRule type="cellIs" dxfId="1" priority="2" stopIfTrue="1" operator="equal">
      <formula>F9</formula>
    </cfRule>
  </conditionalFormatting>
  <conditionalFormatting sqref="G46">
    <cfRule type="cellIs" dxfId="0" priority="1" stopIfTrue="1" operator="equal">
      <formula>H46</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3" manualBreakCount="3">
    <brk id="75" max="16383" man="1"/>
    <brk id="114" max="16383" man="1"/>
    <brk id="1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7"/>
  <sheetViews>
    <sheetView view="pageBreakPreview" zoomScaleNormal="100" zoomScaleSheetLayoutView="100" workbookViewId="0">
      <selection activeCell="E3" sqref="E3"/>
    </sheetView>
  </sheetViews>
  <sheetFormatPr defaultRowHeight="14.25"/>
  <cols>
    <col min="1" max="1" width="4.85546875" style="91" bestFit="1" customWidth="1"/>
    <col min="2" max="2" width="45.42578125" style="58" customWidth="1"/>
    <col min="3" max="3" width="6.5703125" style="59" bestFit="1" customWidth="1"/>
    <col min="4" max="4" width="8.5703125" style="60" customWidth="1"/>
    <col min="5" max="5" width="10.7109375" style="80" customWidth="1"/>
    <col min="6" max="6" width="12.28515625" style="80" customWidth="1"/>
    <col min="7" max="7" width="9.140625" style="12"/>
    <col min="8" max="16384" width="9.140625" style="9"/>
  </cols>
  <sheetData>
    <row r="1" spans="1:6" ht="26.25" thickBot="1">
      <c r="A1" s="82" t="s">
        <v>0</v>
      </c>
      <c r="B1" s="10" t="s">
        <v>1</v>
      </c>
      <c r="C1" s="10" t="s">
        <v>2</v>
      </c>
      <c r="D1" s="11" t="s">
        <v>3</v>
      </c>
      <c r="E1" s="151" t="s">
        <v>4</v>
      </c>
      <c r="F1" s="61" t="s">
        <v>5</v>
      </c>
    </row>
    <row r="2" spans="1:6" ht="28.5" customHeight="1" thickBot="1">
      <c r="A2" s="87"/>
      <c r="B2" s="158" t="s">
        <v>612</v>
      </c>
      <c r="C2" s="159"/>
      <c r="D2" s="160"/>
      <c r="E2" s="161"/>
      <c r="F2" s="162"/>
    </row>
    <row r="3" spans="1:6" ht="32.25" customHeight="1">
      <c r="A3" s="85">
        <v>1</v>
      </c>
      <c r="B3" s="20" t="s">
        <v>41</v>
      </c>
      <c r="C3" s="21" t="s">
        <v>16</v>
      </c>
      <c r="D3" s="22">
        <v>30</v>
      </c>
      <c r="E3" s="546"/>
      <c r="F3" s="23">
        <f t="shared" ref="F3:F6" si="0">D3*E3</f>
        <v>0</v>
      </c>
    </row>
    <row r="4" spans="1:6" ht="36" customHeight="1">
      <c r="A4" s="89">
        <v>2</v>
      </c>
      <c r="B4" s="20" t="s">
        <v>92</v>
      </c>
      <c r="C4" s="21" t="s">
        <v>32</v>
      </c>
      <c r="D4" s="22">
        <v>45</v>
      </c>
      <c r="E4" s="518"/>
      <c r="F4" s="23">
        <f t="shared" si="0"/>
        <v>0</v>
      </c>
    </row>
    <row r="5" spans="1:6" ht="111.75" customHeight="1">
      <c r="A5" s="85" t="s">
        <v>56</v>
      </c>
      <c r="B5" s="118" t="s">
        <v>51</v>
      </c>
      <c r="C5" s="21" t="s">
        <v>9</v>
      </c>
      <c r="D5" s="22">
        <f>1030+435+125+160+185+320+150+80+365+155+105+150+325</f>
        <v>3585</v>
      </c>
      <c r="E5" s="512"/>
      <c r="F5" s="23">
        <f t="shared" si="0"/>
        <v>0</v>
      </c>
    </row>
    <row r="6" spans="1:6" ht="48" customHeight="1" thickBot="1">
      <c r="A6" s="89" t="s">
        <v>57</v>
      </c>
      <c r="B6" s="24" t="s">
        <v>630</v>
      </c>
      <c r="C6" s="21" t="s">
        <v>7</v>
      </c>
      <c r="D6" s="22">
        <v>1</v>
      </c>
      <c r="E6" s="512"/>
      <c r="F6" s="23">
        <f t="shared" si="0"/>
        <v>0</v>
      </c>
    </row>
    <row r="7" spans="1:6" ht="30" customHeight="1" thickBot="1">
      <c r="A7" s="163" t="s">
        <v>613</v>
      </c>
      <c r="B7" s="164" t="s">
        <v>10</v>
      </c>
      <c r="C7" s="165"/>
      <c r="D7" s="166"/>
      <c r="E7" s="167"/>
      <c r="F7" s="168">
        <f>SUM(F3:F6)</f>
        <v>0</v>
      </c>
    </row>
  </sheetData>
  <sheetProtection algorithmName="SHA-512" hashValue="U6m2jSydguuQcEU8uxZfpn6jSTo5h+LeiVFzpfMc9VsXvEi5gwzSv80xrUyrwnGIekmZ8PbVDTHEas9cnWX66g==" saltValue="se5TCIB39XPf8mPNyCa8zg=="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56/2016</oddHeader>
    <oddFooter>&amp;C&amp;P/&amp;N</oddFooter>
  </headerFooter>
  <ignoredErrors>
    <ignoredError sqref="A5:A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108"/>
  <sheetViews>
    <sheetView view="pageBreakPreview" zoomScaleNormal="125" zoomScaleSheetLayoutView="100" workbookViewId="0">
      <selection activeCell="E5" sqref="E5:E9"/>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391</v>
      </c>
      <c r="B1" s="178" t="s">
        <v>215</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1030</v>
      </c>
      <c r="E5" s="512"/>
      <c r="F5" s="23">
        <f t="shared" ref="F5:F11" si="0">D5*E5</f>
        <v>0</v>
      </c>
    </row>
    <row r="6" spans="1:6" ht="25.5">
      <c r="A6" s="85" t="s">
        <v>55</v>
      </c>
      <c r="B6" s="24" t="s">
        <v>28</v>
      </c>
      <c r="C6" s="21" t="s">
        <v>6</v>
      </c>
      <c r="D6" s="22">
        <f>1+36+15</f>
        <v>52</v>
      </c>
      <c r="E6" s="512"/>
      <c r="F6" s="23">
        <f t="shared" si="0"/>
        <v>0</v>
      </c>
    </row>
    <row r="7" spans="1:6" ht="38.25">
      <c r="A7" s="85" t="s">
        <v>56</v>
      </c>
      <c r="B7" s="25" t="s">
        <v>120</v>
      </c>
      <c r="C7" s="21" t="s">
        <v>9</v>
      </c>
      <c r="D7" s="22">
        <v>1015</v>
      </c>
      <c r="E7" s="512"/>
      <c r="F7" s="23">
        <f t="shared" si="0"/>
        <v>0</v>
      </c>
    </row>
    <row r="8" spans="1:6" ht="38.25">
      <c r="A8" s="85" t="s">
        <v>57</v>
      </c>
      <c r="B8" s="211" t="s">
        <v>121</v>
      </c>
      <c r="C8" s="21" t="s">
        <v>9</v>
      </c>
      <c r="D8" s="22">
        <v>910</v>
      </c>
      <c r="E8" s="512"/>
      <c r="F8" s="23">
        <f t="shared" si="0"/>
        <v>0</v>
      </c>
    </row>
    <row r="9" spans="1:6" ht="38.25">
      <c r="A9" s="84" t="s">
        <v>58</v>
      </c>
      <c r="B9" s="176" t="s">
        <v>53</v>
      </c>
      <c r="C9" s="26" t="s">
        <v>48</v>
      </c>
      <c r="D9" s="22">
        <v>1010</v>
      </c>
      <c r="E9" s="512"/>
      <c r="F9" s="23">
        <f t="shared" si="0"/>
        <v>0</v>
      </c>
    </row>
    <row r="10" spans="1:6" ht="38.25">
      <c r="A10" s="84" t="s">
        <v>59</v>
      </c>
      <c r="B10" s="176" t="s">
        <v>122</v>
      </c>
      <c r="C10" s="26" t="s">
        <v>48</v>
      </c>
      <c r="D10" s="22">
        <f>580+430</f>
        <v>1010</v>
      </c>
      <c r="E10" s="512"/>
      <c r="F10" s="23">
        <f t="shared" si="0"/>
        <v>0</v>
      </c>
    </row>
    <row r="11" spans="1:6" ht="39" thickBot="1">
      <c r="A11" s="84" t="s">
        <v>60</v>
      </c>
      <c r="B11" s="20" t="s">
        <v>83</v>
      </c>
      <c r="C11" s="21" t="s">
        <v>47</v>
      </c>
      <c r="D11" s="22">
        <v>15</v>
      </c>
      <c r="E11" s="512"/>
      <c r="F11" s="23">
        <f t="shared" si="0"/>
        <v>0</v>
      </c>
    </row>
    <row r="12" spans="1:6" ht="15" thickBot="1">
      <c r="A12" s="116" t="s">
        <v>34</v>
      </c>
      <c r="B12" s="28" t="s">
        <v>12</v>
      </c>
      <c r="C12" s="29"/>
      <c r="D12" s="30"/>
      <c r="E12" s="65"/>
      <c r="F12" s="117">
        <f>SUM(F5:F11)</f>
        <v>0</v>
      </c>
    </row>
    <row r="13" spans="1:6" ht="15" thickBot="1">
      <c r="A13" s="86"/>
      <c r="B13" s="31"/>
      <c r="C13" s="32"/>
      <c r="D13" s="33"/>
      <c r="E13" s="66"/>
      <c r="F13" s="67"/>
    </row>
    <row r="14" spans="1:6" ht="15" thickBot="1">
      <c r="A14" s="87"/>
      <c r="B14" s="34" t="s">
        <v>35</v>
      </c>
      <c r="C14" s="35"/>
      <c r="D14" s="36"/>
      <c r="E14" s="68"/>
      <c r="F14" s="69"/>
    </row>
    <row r="15" spans="1:6" ht="51">
      <c r="A15" s="88"/>
      <c r="B15" s="37" t="s">
        <v>52</v>
      </c>
      <c r="C15" s="38"/>
      <c r="D15" s="39"/>
      <c r="E15" s="70"/>
      <c r="F15" s="71"/>
    </row>
    <row r="16" spans="1:6" ht="38.25">
      <c r="A16" s="84"/>
      <c r="B16" s="40" t="s">
        <v>25</v>
      </c>
      <c r="C16" s="21"/>
      <c r="D16" s="22"/>
      <c r="E16" s="27"/>
      <c r="F16" s="23"/>
    </row>
    <row r="17" spans="1:6" ht="38.25">
      <c r="A17" s="85" t="s">
        <v>54</v>
      </c>
      <c r="B17" s="20" t="s">
        <v>128</v>
      </c>
      <c r="C17" s="21" t="s">
        <v>47</v>
      </c>
      <c r="D17" s="22">
        <f>12*2.5*0.2</f>
        <v>6</v>
      </c>
      <c r="E17" s="512"/>
      <c r="F17" s="23">
        <f>D17*E17</f>
        <v>0</v>
      </c>
    </row>
    <row r="18" spans="1:6" ht="25.5">
      <c r="A18" s="85" t="s">
        <v>55</v>
      </c>
      <c r="B18" s="135" t="s">
        <v>102</v>
      </c>
      <c r="C18" s="21" t="s">
        <v>47</v>
      </c>
      <c r="D18" s="22">
        <f>(1010+580+430)*0.3</f>
        <v>606</v>
      </c>
      <c r="E18" s="512"/>
      <c r="F18" s="23">
        <f>D18*E18</f>
        <v>0</v>
      </c>
    </row>
    <row r="19" spans="1:6">
      <c r="A19" s="85" t="s">
        <v>56</v>
      </c>
      <c r="B19" s="20" t="s">
        <v>43</v>
      </c>
      <c r="C19" s="21" t="s">
        <v>47</v>
      </c>
      <c r="D19" s="22">
        <v>20</v>
      </c>
      <c r="E19" s="512"/>
      <c r="F19" s="23">
        <f>D19*E19</f>
        <v>0</v>
      </c>
    </row>
    <row r="20" spans="1:6" ht="38.25">
      <c r="A20" s="128" t="s">
        <v>57</v>
      </c>
      <c r="B20" s="145" t="s">
        <v>78</v>
      </c>
      <c r="C20" s="196"/>
      <c r="D20" s="197"/>
      <c r="E20" s="514"/>
      <c r="F20" s="147"/>
    </row>
    <row r="21" spans="1:6">
      <c r="A21" s="84"/>
      <c r="B21" s="198" t="s">
        <v>77</v>
      </c>
      <c r="C21" s="38" t="s">
        <v>47</v>
      </c>
      <c r="D21" s="39">
        <f>1998*0.9</f>
        <v>1798.2</v>
      </c>
      <c r="E21" s="515"/>
      <c r="F21" s="148">
        <f>D21*E21</f>
        <v>0</v>
      </c>
    </row>
    <row r="22" spans="1:6">
      <c r="A22" s="199"/>
      <c r="B22" s="200" t="s">
        <v>76</v>
      </c>
      <c r="C22" s="201" t="s">
        <v>47</v>
      </c>
      <c r="D22" s="202">
        <v>18.21</v>
      </c>
      <c r="E22" s="516"/>
      <c r="F22" s="149">
        <f>D22*E22</f>
        <v>0</v>
      </c>
    </row>
    <row r="23" spans="1:6" ht="38.25">
      <c r="A23" s="128" t="s">
        <v>58</v>
      </c>
      <c r="B23" s="145" t="s">
        <v>108</v>
      </c>
      <c r="C23" s="196"/>
      <c r="D23" s="197"/>
      <c r="E23" s="514"/>
      <c r="F23" s="147"/>
    </row>
    <row r="24" spans="1:6">
      <c r="A24" s="199"/>
      <c r="B24" s="200" t="s">
        <v>77</v>
      </c>
      <c r="C24" s="201" t="s">
        <v>47</v>
      </c>
      <c r="D24" s="202">
        <f>100.52+93+98</f>
        <v>291.52</v>
      </c>
      <c r="E24" s="516"/>
      <c r="F24" s="149">
        <f>D24*E24</f>
        <v>0</v>
      </c>
    </row>
    <row r="25" spans="1:6" ht="38.25">
      <c r="A25" s="85" t="s">
        <v>59</v>
      </c>
      <c r="B25" s="145" t="s">
        <v>79</v>
      </c>
      <c r="C25" s="21" t="s">
        <v>47</v>
      </c>
      <c r="D25" s="202">
        <f>1998*0.1</f>
        <v>199.8</v>
      </c>
      <c r="E25" s="517"/>
      <c r="F25" s="41">
        <f>D25*E25</f>
        <v>0</v>
      </c>
    </row>
    <row r="26" spans="1:6" ht="38.25">
      <c r="A26" s="85" t="s">
        <v>60</v>
      </c>
      <c r="B26" s="176" t="s">
        <v>29</v>
      </c>
      <c r="C26" s="21" t="s">
        <v>48</v>
      </c>
      <c r="D26" s="22">
        <f>(1030-67.5)*2*2.25</f>
        <v>4331.25</v>
      </c>
      <c r="E26" s="518"/>
      <c r="F26" s="41">
        <f t="shared" ref="F26:F42" si="1">D26*E26</f>
        <v>0</v>
      </c>
    </row>
    <row r="27" spans="1:6" ht="63.75">
      <c r="A27" s="85" t="s">
        <v>61</v>
      </c>
      <c r="B27" s="20" t="s">
        <v>73</v>
      </c>
      <c r="C27" s="21" t="s">
        <v>6</v>
      </c>
      <c r="D27" s="22">
        <v>80</v>
      </c>
      <c r="E27" s="518"/>
      <c r="F27" s="41">
        <f t="shared" si="1"/>
        <v>0</v>
      </c>
    </row>
    <row r="28" spans="1:6" ht="25.5">
      <c r="A28" s="85" t="s">
        <v>62</v>
      </c>
      <c r="B28" s="176" t="s">
        <v>44</v>
      </c>
      <c r="C28" s="26" t="s">
        <v>48</v>
      </c>
      <c r="D28" s="22">
        <f>(1030-67.5-6-6)*0.9</f>
        <v>855.45</v>
      </c>
      <c r="E28" s="512"/>
      <c r="F28" s="41">
        <f t="shared" si="1"/>
        <v>0</v>
      </c>
    </row>
    <row r="29" spans="1:6" ht="51">
      <c r="A29" s="85" t="s">
        <v>63</v>
      </c>
      <c r="B29" s="135" t="s">
        <v>85</v>
      </c>
      <c r="C29" s="21" t="s">
        <v>47</v>
      </c>
      <c r="D29" s="22">
        <f>185.16*1.1</f>
        <v>203.67600000000002</v>
      </c>
      <c r="E29" s="512"/>
      <c r="F29" s="41">
        <f t="shared" si="1"/>
        <v>0</v>
      </c>
    </row>
    <row r="30" spans="1:6" ht="51">
      <c r="A30" s="85" t="s">
        <v>64</v>
      </c>
      <c r="B30" s="135" t="s">
        <v>86</v>
      </c>
      <c r="C30" s="21" t="s">
        <v>47</v>
      </c>
      <c r="D30" s="22">
        <f>384.04*1.1</f>
        <v>422.44400000000007</v>
      </c>
      <c r="E30" s="512"/>
      <c r="F30" s="41">
        <f t="shared" si="1"/>
        <v>0</v>
      </c>
    </row>
    <row r="31" spans="1:6" ht="76.5">
      <c r="A31" s="85" t="s">
        <v>65</v>
      </c>
      <c r="B31" s="20" t="s">
        <v>22</v>
      </c>
      <c r="C31" s="21" t="s">
        <v>47</v>
      </c>
      <c r="D31" s="22">
        <v>1082</v>
      </c>
      <c r="E31" s="512"/>
      <c r="F31" s="41">
        <f t="shared" si="1"/>
        <v>0</v>
      </c>
    </row>
    <row r="32" spans="1:6" ht="38.25">
      <c r="A32" s="85" t="s">
        <v>66</v>
      </c>
      <c r="B32" s="140" t="s">
        <v>87</v>
      </c>
      <c r="C32" s="21" t="s">
        <v>47</v>
      </c>
      <c r="D32" s="22">
        <f>1010*0.3*1.1</f>
        <v>333.3</v>
      </c>
      <c r="E32" s="512"/>
      <c r="F32" s="41">
        <f t="shared" si="1"/>
        <v>0</v>
      </c>
    </row>
    <row r="33" spans="1:7" ht="38.25">
      <c r="A33" s="85" t="s">
        <v>171</v>
      </c>
      <c r="B33" s="140" t="s">
        <v>170</v>
      </c>
      <c r="C33" s="21" t="s">
        <v>47</v>
      </c>
      <c r="D33" s="22">
        <f>(580+430)*0.5*1.1</f>
        <v>555.5</v>
      </c>
      <c r="E33" s="512"/>
      <c r="F33" s="41">
        <f t="shared" si="1"/>
        <v>0</v>
      </c>
    </row>
    <row r="34" spans="1:7" ht="38.25">
      <c r="A34" s="85" t="s">
        <v>67</v>
      </c>
      <c r="B34" s="140" t="s">
        <v>175</v>
      </c>
      <c r="C34" s="21" t="s">
        <v>47</v>
      </c>
      <c r="D34" s="22">
        <f>(580+430)*0.2*1.1</f>
        <v>222.20000000000002</v>
      </c>
      <c r="E34" s="512"/>
      <c r="F34" s="41">
        <f t="shared" si="1"/>
        <v>0</v>
      </c>
    </row>
    <row r="35" spans="1:7" ht="38.25">
      <c r="A35" s="85" t="s">
        <v>174</v>
      </c>
      <c r="B35" s="140" t="s">
        <v>101</v>
      </c>
      <c r="C35" s="21" t="s">
        <v>47</v>
      </c>
      <c r="D35" s="22">
        <f>1010*0.25*1.1</f>
        <v>277.75</v>
      </c>
      <c r="E35" s="512"/>
      <c r="F35" s="41">
        <f t="shared" si="1"/>
        <v>0</v>
      </c>
    </row>
    <row r="36" spans="1:7">
      <c r="A36" s="85" t="s">
        <v>68</v>
      </c>
      <c r="B36" s="42" t="s">
        <v>184</v>
      </c>
      <c r="C36" s="21" t="s">
        <v>9</v>
      </c>
      <c r="D36" s="22">
        <v>25</v>
      </c>
      <c r="E36" s="512"/>
      <c r="F36" s="41">
        <f t="shared" si="1"/>
        <v>0</v>
      </c>
    </row>
    <row r="37" spans="1:7" ht="25.5">
      <c r="A37" s="85" t="s">
        <v>69</v>
      </c>
      <c r="B37" s="42" t="s">
        <v>45</v>
      </c>
      <c r="C37" s="21" t="s">
        <v>9</v>
      </c>
      <c r="D37" s="22">
        <f>(1030-67.5-6-6)</f>
        <v>950.5</v>
      </c>
      <c r="E37" s="512"/>
      <c r="F37" s="41">
        <f t="shared" si="1"/>
        <v>0</v>
      </c>
    </row>
    <row r="38" spans="1:7" ht="38.25">
      <c r="A38" s="85" t="s">
        <v>70</v>
      </c>
      <c r="B38" s="42" t="s">
        <v>217</v>
      </c>
      <c r="C38" s="21" t="s">
        <v>47</v>
      </c>
      <c r="D38" s="22">
        <f>((D9*0.1)+(D10*0.15)+D18+D19+D21+D22+D24-D31)*1.25</f>
        <v>2380.5374999999999</v>
      </c>
      <c r="E38" s="512"/>
      <c r="F38" s="41">
        <f t="shared" si="1"/>
        <v>0</v>
      </c>
    </row>
    <row r="39" spans="1:7" ht="25.5">
      <c r="A39" s="85" t="s">
        <v>71</v>
      </c>
      <c r="B39" s="20" t="s">
        <v>23</v>
      </c>
      <c r="C39" s="26" t="s">
        <v>48</v>
      </c>
      <c r="D39" s="22">
        <f>1010+580+430</f>
        <v>2020</v>
      </c>
      <c r="E39" s="512"/>
      <c r="F39" s="41">
        <f t="shared" si="1"/>
        <v>0</v>
      </c>
    </row>
    <row r="40" spans="1:7" s="191" customFormat="1">
      <c r="A40" s="85" t="s">
        <v>80</v>
      </c>
      <c r="B40" s="176" t="s">
        <v>117</v>
      </c>
      <c r="C40" s="26" t="s">
        <v>48</v>
      </c>
      <c r="D40" s="22">
        <f>(D39)*1.1</f>
        <v>2222</v>
      </c>
      <c r="E40" s="512"/>
      <c r="F40" s="41">
        <f t="shared" si="1"/>
        <v>0</v>
      </c>
      <c r="G40" s="12"/>
    </row>
    <row r="41" spans="1:7" ht="38.25">
      <c r="A41" s="85" t="s">
        <v>103</v>
      </c>
      <c r="B41" s="42" t="s">
        <v>218</v>
      </c>
      <c r="C41" s="21" t="s">
        <v>47</v>
      </c>
      <c r="D41" s="22">
        <f>D17</f>
        <v>6</v>
      </c>
      <c r="E41" s="512"/>
      <c r="F41" s="41">
        <f t="shared" si="1"/>
        <v>0</v>
      </c>
    </row>
    <row r="42" spans="1:7" ht="26.25" thickBot="1">
      <c r="A42" s="85" t="s">
        <v>113</v>
      </c>
      <c r="B42" s="177" t="s">
        <v>219</v>
      </c>
      <c r="C42" s="21" t="s">
        <v>48</v>
      </c>
      <c r="D42" s="22">
        <f>D41/0.2</f>
        <v>30</v>
      </c>
      <c r="E42" s="512"/>
      <c r="F42" s="41">
        <f t="shared" si="1"/>
        <v>0</v>
      </c>
    </row>
    <row r="43" spans="1:7" ht="15" thickBot="1">
      <c r="A43" s="125" t="s">
        <v>36</v>
      </c>
      <c r="B43" s="126" t="s">
        <v>11</v>
      </c>
      <c r="C43" s="44"/>
      <c r="D43" s="45"/>
      <c r="E43" s="72"/>
      <c r="F43" s="127">
        <f>SUM(F17:F42)</f>
        <v>0</v>
      </c>
      <c r="G43" s="9"/>
    </row>
    <row r="44" spans="1:7" ht="15" thickBot="1">
      <c r="A44" s="86"/>
      <c r="B44" s="203"/>
      <c r="C44" s="204"/>
      <c r="D44" s="205"/>
      <c r="E44" s="73"/>
      <c r="F44" s="66"/>
      <c r="G44" s="9"/>
    </row>
    <row r="45" spans="1:7" ht="15" thickBot="1">
      <c r="A45" s="90"/>
      <c r="B45" s="46" t="s">
        <v>37</v>
      </c>
      <c r="C45" s="47"/>
      <c r="D45" s="48"/>
      <c r="E45" s="74"/>
      <c r="F45" s="75"/>
      <c r="G45" s="9"/>
    </row>
    <row r="46" spans="1:7" ht="63.75">
      <c r="A46" s="88"/>
      <c r="B46" s="49" t="s">
        <v>24</v>
      </c>
      <c r="C46" s="17"/>
      <c r="D46" s="18"/>
      <c r="E46" s="64"/>
      <c r="F46" s="19"/>
      <c r="G46" s="9"/>
    </row>
    <row r="47" spans="1:7" ht="76.5">
      <c r="A47" s="89">
        <v>1</v>
      </c>
      <c r="B47" s="177" t="s">
        <v>206</v>
      </c>
      <c r="C47" s="21" t="s">
        <v>9</v>
      </c>
      <c r="D47" s="22">
        <v>30</v>
      </c>
      <c r="E47" s="519"/>
      <c r="F47" s="43">
        <f t="shared" ref="F47:F52" si="2">D47*E47</f>
        <v>0</v>
      </c>
      <c r="G47" s="9"/>
    </row>
    <row r="48" spans="1:7">
      <c r="A48" s="133"/>
      <c r="B48" s="291" t="s">
        <v>136</v>
      </c>
      <c r="C48" s="201" t="s">
        <v>6</v>
      </c>
      <c r="D48" s="22">
        <v>4</v>
      </c>
      <c r="E48" s="519"/>
      <c r="F48" s="43">
        <f t="shared" si="2"/>
        <v>0</v>
      </c>
      <c r="G48" s="9"/>
    </row>
    <row r="49" spans="1:7">
      <c r="A49" s="89"/>
      <c r="B49" s="177" t="s">
        <v>137</v>
      </c>
      <c r="C49" s="21" t="s">
        <v>6</v>
      </c>
      <c r="D49" s="22">
        <v>1</v>
      </c>
      <c r="E49" s="519"/>
      <c r="F49" s="43">
        <f t="shared" si="2"/>
        <v>0</v>
      </c>
      <c r="G49" s="9"/>
    </row>
    <row r="50" spans="1:7" ht="76.5">
      <c r="A50" s="89" t="s">
        <v>55</v>
      </c>
      <c r="B50" s="177" t="s">
        <v>207</v>
      </c>
      <c r="C50" s="21" t="s">
        <v>9</v>
      </c>
      <c r="D50" s="22">
        <v>545</v>
      </c>
      <c r="E50" s="519"/>
      <c r="F50" s="43">
        <f t="shared" si="2"/>
        <v>0</v>
      </c>
      <c r="G50" s="9"/>
    </row>
    <row r="51" spans="1:7">
      <c r="A51" s="133"/>
      <c r="B51" s="291" t="s">
        <v>112</v>
      </c>
      <c r="C51" s="201" t="s">
        <v>6</v>
      </c>
      <c r="D51" s="221">
        <v>20</v>
      </c>
      <c r="E51" s="519"/>
      <c r="F51" s="43">
        <f t="shared" ref="F51" si="3">D51*E51</f>
        <v>0</v>
      </c>
      <c r="G51" s="9"/>
    </row>
    <row r="52" spans="1:7">
      <c r="A52" s="89"/>
      <c r="B52" s="177" t="s">
        <v>110</v>
      </c>
      <c r="C52" s="21" t="s">
        <v>6</v>
      </c>
      <c r="D52" s="22">
        <v>4</v>
      </c>
      <c r="E52" s="519"/>
      <c r="F52" s="43">
        <f t="shared" si="2"/>
        <v>0</v>
      </c>
      <c r="G52" s="9"/>
    </row>
    <row r="53" spans="1:7" ht="76.5">
      <c r="A53" s="89" t="s">
        <v>56</v>
      </c>
      <c r="B53" s="177" t="s">
        <v>208</v>
      </c>
      <c r="C53" s="21" t="s">
        <v>9</v>
      </c>
      <c r="D53" s="22">
        <v>405</v>
      </c>
      <c r="E53" s="519"/>
      <c r="F53" s="43">
        <f t="shared" ref="F53:F56" si="4">D53*E53</f>
        <v>0</v>
      </c>
      <c r="G53" s="9"/>
    </row>
    <row r="54" spans="1:7">
      <c r="A54" s="133"/>
      <c r="B54" s="207" t="s">
        <v>209</v>
      </c>
      <c r="C54" s="201" t="s">
        <v>6</v>
      </c>
      <c r="D54" s="221">
        <v>4</v>
      </c>
      <c r="E54" s="519"/>
      <c r="F54" s="43">
        <f t="shared" si="4"/>
        <v>0</v>
      </c>
      <c r="G54" s="9"/>
    </row>
    <row r="55" spans="1:7">
      <c r="A55" s="89"/>
      <c r="B55" s="177" t="s">
        <v>210</v>
      </c>
      <c r="C55" s="21" t="s">
        <v>6</v>
      </c>
      <c r="D55" s="22">
        <v>1</v>
      </c>
      <c r="E55" s="519"/>
      <c r="F55" s="43">
        <f t="shared" ref="F55" si="5">D55*E55</f>
        <v>0</v>
      </c>
      <c r="G55" s="9"/>
    </row>
    <row r="56" spans="1:7">
      <c r="A56" s="89"/>
      <c r="B56" s="177" t="s">
        <v>220</v>
      </c>
      <c r="C56" s="21" t="s">
        <v>6</v>
      </c>
      <c r="D56" s="22">
        <v>1</v>
      </c>
      <c r="E56" s="519"/>
      <c r="F56" s="43">
        <f t="shared" si="4"/>
        <v>0</v>
      </c>
      <c r="G56" s="9"/>
    </row>
    <row r="57" spans="1:7" ht="191.25">
      <c r="A57" s="129" t="s">
        <v>57</v>
      </c>
      <c r="B57" s="208" t="s">
        <v>100</v>
      </c>
      <c r="C57" s="196"/>
      <c r="D57" s="197"/>
      <c r="E57" s="209"/>
      <c r="F57" s="130"/>
      <c r="G57" s="9"/>
    </row>
    <row r="58" spans="1:7">
      <c r="A58" s="133"/>
      <c r="B58" s="207" t="s">
        <v>30</v>
      </c>
      <c r="C58" s="201" t="s">
        <v>6</v>
      </c>
      <c r="D58" s="202">
        <v>34</v>
      </c>
      <c r="E58" s="520"/>
      <c r="F58" s="134">
        <f t="shared" ref="F58:F85" si="6">D58*E58</f>
        <v>0</v>
      </c>
      <c r="G58" s="9"/>
    </row>
    <row r="59" spans="1:7">
      <c r="A59" s="133"/>
      <c r="B59" s="207" t="s">
        <v>221</v>
      </c>
      <c r="C59" s="201" t="s">
        <v>6</v>
      </c>
      <c r="D59" s="202">
        <v>1</v>
      </c>
      <c r="E59" s="520"/>
      <c r="F59" s="134">
        <f t="shared" ref="F59" si="7">D59*E59</f>
        <v>0</v>
      </c>
      <c r="G59" s="9"/>
    </row>
    <row r="60" spans="1:7">
      <c r="A60" s="133"/>
      <c r="B60" s="207" t="s">
        <v>202</v>
      </c>
      <c r="C60" s="201" t="s">
        <v>6</v>
      </c>
      <c r="D60" s="202">
        <v>1</v>
      </c>
      <c r="E60" s="520"/>
      <c r="F60" s="134">
        <f t="shared" si="6"/>
        <v>0</v>
      </c>
      <c r="G60" s="9"/>
    </row>
    <row r="61" spans="1:7" ht="76.5">
      <c r="A61" s="89" t="s">
        <v>58</v>
      </c>
      <c r="B61" s="234" t="s">
        <v>230</v>
      </c>
      <c r="C61" s="21"/>
      <c r="D61" s="22"/>
      <c r="E61" s="206"/>
      <c r="F61" s="43"/>
    </row>
    <row r="62" spans="1:7">
      <c r="A62" s="133"/>
      <c r="B62" s="207" t="s">
        <v>234</v>
      </c>
      <c r="C62" s="218"/>
      <c r="D62" s="219"/>
      <c r="E62" s="220"/>
      <c r="F62" s="220"/>
    </row>
    <row r="63" spans="1:7">
      <c r="A63" s="216"/>
      <c r="B63" s="217" t="s">
        <v>231</v>
      </c>
      <c r="C63" s="218"/>
      <c r="D63" s="219"/>
      <c r="E63" s="220"/>
      <c r="F63" s="220"/>
    </row>
    <row r="64" spans="1:7">
      <c r="A64" s="216"/>
      <c r="B64" s="217" t="s">
        <v>232</v>
      </c>
      <c r="C64" s="218"/>
      <c r="D64" s="219"/>
      <c r="E64" s="220"/>
      <c r="F64" s="220"/>
    </row>
    <row r="65" spans="1:7">
      <c r="A65" s="216"/>
      <c r="B65" s="217" t="s">
        <v>233</v>
      </c>
      <c r="C65" s="201" t="s">
        <v>6</v>
      </c>
      <c r="D65" s="202">
        <v>2</v>
      </c>
      <c r="E65" s="520"/>
      <c r="F65" s="134">
        <f>D65*E65</f>
        <v>0</v>
      </c>
    </row>
    <row r="66" spans="1:7" ht="51">
      <c r="A66" s="89" t="s">
        <v>59</v>
      </c>
      <c r="B66" s="42" t="s">
        <v>222</v>
      </c>
      <c r="C66" s="21" t="s">
        <v>6</v>
      </c>
      <c r="D66" s="22">
        <v>1</v>
      </c>
      <c r="E66" s="512"/>
      <c r="F66" s="43">
        <f t="shared" si="6"/>
        <v>0</v>
      </c>
      <c r="G66" s="9"/>
    </row>
    <row r="67" spans="1:7" ht="102">
      <c r="A67" s="89" t="s">
        <v>60</v>
      </c>
      <c r="B67" s="176" t="s">
        <v>89</v>
      </c>
      <c r="C67" s="21" t="s">
        <v>6</v>
      </c>
      <c r="D67" s="22">
        <v>15</v>
      </c>
      <c r="E67" s="518"/>
      <c r="F67" s="43">
        <f t="shared" si="6"/>
        <v>0</v>
      </c>
      <c r="G67" s="9"/>
    </row>
    <row r="68" spans="1:7" ht="51">
      <c r="A68" s="89" t="s">
        <v>61</v>
      </c>
      <c r="B68" s="20" t="s">
        <v>90</v>
      </c>
      <c r="C68" s="21" t="s">
        <v>6</v>
      </c>
      <c r="D68" s="22">
        <v>15</v>
      </c>
      <c r="E68" s="518"/>
      <c r="F68" s="43">
        <f t="shared" si="6"/>
        <v>0</v>
      </c>
      <c r="G68" s="9"/>
    </row>
    <row r="69" spans="1:7" ht="38.25">
      <c r="A69" s="89" t="s">
        <v>62</v>
      </c>
      <c r="B69" s="142" t="s">
        <v>91</v>
      </c>
      <c r="C69" s="21" t="s">
        <v>6</v>
      </c>
      <c r="D69" s="143">
        <v>10</v>
      </c>
      <c r="E69" s="513"/>
      <c r="F69" s="43">
        <f t="shared" si="6"/>
        <v>0</v>
      </c>
    </row>
    <row r="70" spans="1:7" ht="38.25">
      <c r="A70" s="89" t="s">
        <v>63</v>
      </c>
      <c r="B70" s="142" t="s">
        <v>203</v>
      </c>
      <c r="C70" s="21" t="s">
        <v>6</v>
      </c>
      <c r="D70" s="143">
        <v>3</v>
      </c>
      <c r="E70" s="513"/>
      <c r="F70" s="43">
        <f t="shared" si="6"/>
        <v>0</v>
      </c>
    </row>
    <row r="71" spans="1:7" ht="89.25">
      <c r="A71" s="89" t="s">
        <v>64</v>
      </c>
      <c r="B71" s="176" t="s">
        <v>81</v>
      </c>
      <c r="C71" s="21" t="s">
        <v>9</v>
      </c>
      <c r="D71" s="22">
        <f>12*8</f>
        <v>96</v>
      </c>
      <c r="E71" s="518"/>
      <c r="F71" s="43">
        <f t="shared" si="6"/>
        <v>0</v>
      </c>
    </row>
    <row r="72" spans="1:7">
      <c r="A72" s="131"/>
      <c r="B72" s="210" t="s">
        <v>115</v>
      </c>
      <c r="C72" s="38" t="s">
        <v>6</v>
      </c>
      <c r="D72" s="39">
        <v>12</v>
      </c>
      <c r="E72" s="522"/>
      <c r="F72" s="132">
        <f t="shared" si="6"/>
        <v>0</v>
      </c>
    </row>
    <row r="73" spans="1:7" ht="89.25">
      <c r="A73" s="89" t="s">
        <v>65</v>
      </c>
      <c r="B73" s="176" t="s">
        <v>204</v>
      </c>
      <c r="C73" s="21" t="s">
        <v>9</v>
      </c>
      <c r="D73" s="22">
        <f>3*8</f>
        <v>24</v>
      </c>
      <c r="E73" s="518"/>
      <c r="F73" s="43">
        <f t="shared" si="6"/>
        <v>0</v>
      </c>
    </row>
    <row r="74" spans="1:7">
      <c r="A74" s="131"/>
      <c r="B74" s="210" t="s">
        <v>205</v>
      </c>
      <c r="C74" s="38" t="s">
        <v>6</v>
      </c>
      <c r="D74" s="39">
        <v>3</v>
      </c>
      <c r="E74" s="522"/>
      <c r="F74" s="132">
        <f t="shared" si="6"/>
        <v>0</v>
      </c>
    </row>
    <row r="75" spans="1:7" ht="38.25">
      <c r="A75" s="222" t="s">
        <v>66</v>
      </c>
      <c r="B75" s="223" t="s">
        <v>223</v>
      </c>
      <c r="C75" s="224" t="s">
        <v>9</v>
      </c>
      <c r="D75" s="221">
        <v>10</v>
      </c>
      <c r="E75" s="523"/>
      <c r="F75" s="213">
        <f t="shared" si="6"/>
        <v>0</v>
      </c>
    </row>
    <row r="76" spans="1:7" ht="25.5">
      <c r="A76" s="222" t="s">
        <v>67</v>
      </c>
      <c r="B76" s="223" t="s">
        <v>224</v>
      </c>
      <c r="C76" s="224" t="s">
        <v>9</v>
      </c>
      <c r="D76" s="221">
        <v>75</v>
      </c>
      <c r="E76" s="523"/>
      <c r="F76" s="213">
        <f t="shared" si="6"/>
        <v>0</v>
      </c>
    </row>
    <row r="77" spans="1:7" ht="25.5">
      <c r="A77" s="222" t="s">
        <v>68</v>
      </c>
      <c r="B77" s="223" t="s">
        <v>211</v>
      </c>
      <c r="C77" s="224"/>
      <c r="D77" s="221"/>
      <c r="E77" s="225"/>
      <c r="F77" s="213"/>
    </row>
    <row r="78" spans="1:7">
      <c r="A78" s="226"/>
      <c r="B78" s="227" t="s">
        <v>225</v>
      </c>
      <c r="C78" s="228" t="s">
        <v>6</v>
      </c>
      <c r="D78" s="229">
        <v>3</v>
      </c>
      <c r="E78" s="521"/>
      <c r="F78" s="230">
        <f t="shared" si="6"/>
        <v>0</v>
      </c>
    </row>
    <row r="79" spans="1:7">
      <c r="A79" s="226"/>
      <c r="B79" s="227" t="s">
        <v>226</v>
      </c>
      <c r="C79" s="228" t="s">
        <v>6</v>
      </c>
      <c r="D79" s="229">
        <v>3</v>
      </c>
      <c r="E79" s="521"/>
      <c r="F79" s="230">
        <f t="shared" si="6"/>
        <v>0</v>
      </c>
    </row>
    <row r="80" spans="1:7">
      <c r="A80" s="222" t="s">
        <v>69</v>
      </c>
      <c r="B80" s="223" t="s">
        <v>212</v>
      </c>
      <c r="C80" s="224"/>
      <c r="D80" s="221"/>
      <c r="E80" s="225"/>
      <c r="F80" s="213"/>
    </row>
    <row r="81" spans="1:7">
      <c r="A81" s="226"/>
      <c r="B81" s="227" t="s">
        <v>227</v>
      </c>
      <c r="C81" s="228" t="s">
        <v>6</v>
      </c>
      <c r="D81" s="229">
        <v>2</v>
      </c>
      <c r="E81" s="521"/>
      <c r="F81" s="230">
        <f t="shared" si="6"/>
        <v>0</v>
      </c>
    </row>
    <row r="82" spans="1:7">
      <c r="A82" s="226"/>
      <c r="B82" s="227" t="s">
        <v>213</v>
      </c>
      <c r="C82" s="228" t="s">
        <v>6</v>
      </c>
      <c r="D82" s="229">
        <v>1</v>
      </c>
      <c r="E82" s="521"/>
      <c r="F82" s="230">
        <f t="shared" si="6"/>
        <v>0</v>
      </c>
    </row>
    <row r="83" spans="1:7" ht="38.25">
      <c r="A83" s="226"/>
      <c r="B83" s="231" t="s">
        <v>214</v>
      </c>
      <c r="C83" s="228" t="s">
        <v>6</v>
      </c>
      <c r="D83" s="229">
        <v>1</v>
      </c>
      <c r="E83" s="521"/>
      <c r="F83" s="230">
        <f t="shared" si="6"/>
        <v>0</v>
      </c>
    </row>
    <row r="84" spans="1:7" s="191" customFormat="1" ht="76.5">
      <c r="A84" s="226" t="s">
        <v>70</v>
      </c>
      <c r="B84" s="232" t="s">
        <v>228</v>
      </c>
      <c r="C84" s="228" t="s">
        <v>111</v>
      </c>
      <c r="D84" s="229">
        <v>75</v>
      </c>
      <c r="E84" s="521"/>
      <c r="F84" s="230">
        <f t="shared" si="6"/>
        <v>0</v>
      </c>
      <c r="G84" s="12"/>
    </row>
    <row r="85" spans="1:7" ht="51.75" thickBot="1">
      <c r="A85" s="222" t="s">
        <v>71</v>
      </c>
      <c r="B85" s="233" t="s">
        <v>229</v>
      </c>
      <c r="C85" s="224" t="s">
        <v>6</v>
      </c>
      <c r="D85" s="221">
        <v>1</v>
      </c>
      <c r="E85" s="517"/>
      <c r="F85" s="213">
        <f t="shared" si="6"/>
        <v>0</v>
      </c>
    </row>
    <row r="86" spans="1:7" ht="15" thickBot="1">
      <c r="A86" s="122" t="s">
        <v>38</v>
      </c>
      <c r="B86" s="124" t="s">
        <v>26</v>
      </c>
      <c r="C86" s="50"/>
      <c r="D86" s="51"/>
      <c r="E86" s="76"/>
      <c r="F86" s="123">
        <f>SUM(F47:F85)</f>
        <v>0</v>
      </c>
    </row>
    <row r="87" spans="1:7" ht="15" thickBot="1">
      <c r="A87" s="86"/>
      <c r="B87" s="31"/>
      <c r="C87" s="32"/>
      <c r="D87" s="33"/>
      <c r="E87" s="66"/>
      <c r="F87" s="66"/>
    </row>
    <row r="88" spans="1:7" ht="15" thickBot="1">
      <c r="A88" s="87"/>
      <c r="B88" s="52" t="s">
        <v>39</v>
      </c>
      <c r="C88" s="53"/>
      <c r="D88" s="54"/>
      <c r="E88" s="77"/>
      <c r="F88" s="78"/>
    </row>
    <row r="89" spans="1:7" ht="63.75">
      <c r="A89" s="84"/>
      <c r="B89" s="37" t="s">
        <v>8</v>
      </c>
      <c r="C89" s="38"/>
      <c r="D89" s="39"/>
      <c r="E89" s="70"/>
      <c r="F89" s="71"/>
    </row>
    <row r="90" spans="1:7" ht="25.5">
      <c r="A90" s="85" t="s">
        <v>54</v>
      </c>
      <c r="B90" s="55" t="s">
        <v>42</v>
      </c>
      <c r="C90" s="26" t="s">
        <v>9</v>
      </c>
      <c r="D90" s="81">
        <f>1030-67.5</f>
        <v>962.5</v>
      </c>
      <c r="E90" s="524"/>
      <c r="F90" s="23">
        <f t="shared" ref="F90:F100" si="8">D90*E90</f>
        <v>0</v>
      </c>
    </row>
    <row r="91" spans="1:7" ht="25.5">
      <c r="A91" s="85" t="s">
        <v>55</v>
      </c>
      <c r="B91" s="55" t="s">
        <v>104</v>
      </c>
      <c r="C91" s="26" t="s">
        <v>9</v>
      </c>
      <c r="D91" s="81">
        <v>1030</v>
      </c>
      <c r="E91" s="524"/>
      <c r="F91" s="23">
        <f>D91*E91</f>
        <v>0</v>
      </c>
    </row>
    <row r="92" spans="1:7">
      <c r="A92" s="85" t="s">
        <v>56</v>
      </c>
      <c r="B92" s="55" t="s">
        <v>105</v>
      </c>
      <c r="C92" s="26" t="s">
        <v>9</v>
      </c>
      <c r="D92" s="81">
        <v>1030</v>
      </c>
      <c r="E92" s="524"/>
      <c r="F92" s="23">
        <f>D92*E92</f>
        <v>0</v>
      </c>
    </row>
    <row r="93" spans="1:7" ht="25.5">
      <c r="A93" s="85" t="s">
        <v>57</v>
      </c>
      <c r="B93" s="184" t="s">
        <v>118</v>
      </c>
      <c r="C93" s="21" t="s">
        <v>48</v>
      </c>
      <c r="D93" s="22">
        <v>1010</v>
      </c>
      <c r="E93" s="525"/>
      <c r="F93" s="23">
        <f>D93*E93</f>
        <v>0</v>
      </c>
    </row>
    <row r="94" spans="1:7" ht="25.5">
      <c r="A94" s="89" t="s">
        <v>58</v>
      </c>
      <c r="B94" s="141" t="s">
        <v>119</v>
      </c>
      <c r="C94" s="21" t="s">
        <v>48</v>
      </c>
      <c r="D94" s="22">
        <v>1010</v>
      </c>
      <c r="E94" s="525"/>
      <c r="F94" s="23">
        <f t="shared" si="8"/>
        <v>0</v>
      </c>
    </row>
    <row r="95" spans="1:7" ht="25.5">
      <c r="A95" s="85" t="s">
        <v>59</v>
      </c>
      <c r="B95" s="212" t="s">
        <v>176</v>
      </c>
      <c r="C95" s="21" t="s">
        <v>48</v>
      </c>
      <c r="D95" s="22">
        <v>580</v>
      </c>
      <c r="E95" s="526"/>
      <c r="F95" s="213">
        <f>D95*E95</f>
        <v>0</v>
      </c>
    </row>
    <row r="96" spans="1:7" ht="25.5">
      <c r="A96" s="89" t="s">
        <v>60</v>
      </c>
      <c r="B96" s="214" t="s">
        <v>177</v>
      </c>
      <c r="C96" s="21" t="s">
        <v>48</v>
      </c>
      <c r="D96" s="22">
        <v>580</v>
      </c>
      <c r="E96" s="526"/>
      <c r="F96" s="213">
        <f t="shared" ref="F96" si="9">D96*E96</f>
        <v>0</v>
      </c>
    </row>
    <row r="97" spans="1:7" ht="25.5">
      <c r="A97" s="85" t="s">
        <v>61</v>
      </c>
      <c r="B97" s="212" t="s">
        <v>189</v>
      </c>
      <c r="C97" s="21" t="s">
        <v>48</v>
      </c>
      <c r="D97" s="22">
        <v>430</v>
      </c>
      <c r="E97" s="526"/>
      <c r="F97" s="213">
        <f>D97*E97</f>
        <v>0</v>
      </c>
    </row>
    <row r="98" spans="1:7" ht="25.5">
      <c r="A98" s="89" t="s">
        <v>62</v>
      </c>
      <c r="B98" s="214" t="s">
        <v>190</v>
      </c>
      <c r="C98" s="21" t="s">
        <v>48</v>
      </c>
      <c r="D98" s="22">
        <v>430</v>
      </c>
      <c r="E98" s="526"/>
      <c r="F98" s="213">
        <f t="shared" ref="F98" si="10">D98*E98</f>
        <v>0</v>
      </c>
    </row>
    <row r="99" spans="1:7" ht="25.5">
      <c r="A99" s="85" t="s">
        <v>63</v>
      </c>
      <c r="B99" s="24" t="s">
        <v>94</v>
      </c>
      <c r="C99" s="21" t="s">
        <v>47</v>
      </c>
      <c r="D99" s="22">
        <v>12</v>
      </c>
      <c r="E99" s="512"/>
      <c r="F99" s="23">
        <f t="shared" si="8"/>
        <v>0</v>
      </c>
    </row>
    <row r="100" spans="1:7" ht="51">
      <c r="A100" s="85" t="s">
        <v>64</v>
      </c>
      <c r="B100" s="24" t="s">
        <v>21</v>
      </c>
      <c r="C100" s="21" t="s">
        <v>6</v>
      </c>
      <c r="D100" s="22">
        <v>20</v>
      </c>
      <c r="E100" s="512"/>
      <c r="F100" s="23">
        <f t="shared" si="8"/>
        <v>0</v>
      </c>
    </row>
    <row r="101" spans="1:7" s="150" customFormat="1" ht="51">
      <c r="A101" s="85" t="s">
        <v>65</v>
      </c>
      <c r="B101" s="24" t="s">
        <v>96</v>
      </c>
      <c r="C101" s="21" t="s">
        <v>6</v>
      </c>
      <c r="D101" s="22">
        <v>10</v>
      </c>
      <c r="E101" s="512"/>
      <c r="F101" s="23">
        <f>D101*E101</f>
        <v>0</v>
      </c>
      <c r="G101" s="58"/>
    </row>
    <row r="102" spans="1:7" s="191" customFormat="1" ht="63.75">
      <c r="A102" s="226" t="s">
        <v>66</v>
      </c>
      <c r="B102" s="232" t="s">
        <v>236</v>
      </c>
      <c r="C102" s="228" t="s">
        <v>6</v>
      </c>
      <c r="D102" s="229">
        <v>2</v>
      </c>
      <c r="E102" s="521"/>
      <c r="F102" s="230">
        <f t="shared" ref="F102" si="11">D102*E102</f>
        <v>0</v>
      </c>
      <c r="G102" s="12"/>
    </row>
    <row r="103" spans="1:7" s="150" customFormat="1" ht="51.75" thickBot="1">
      <c r="A103" s="85" t="s">
        <v>67</v>
      </c>
      <c r="B103" s="235" t="s">
        <v>235</v>
      </c>
      <c r="C103" s="21" t="s">
        <v>6</v>
      </c>
      <c r="D103" s="22">
        <v>2</v>
      </c>
      <c r="E103" s="512"/>
      <c r="F103" s="23">
        <f>D103*E103</f>
        <v>0</v>
      </c>
      <c r="G103" s="58"/>
    </row>
    <row r="104" spans="1:7" ht="15" thickBot="1">
      <c r="A104" s="119" t="s">
        <v>40</v>
      </c>
      <c r="B104" s="120" t="s">
        <v>10</v>
      </c>
      <c r="C104" s="56"/>
      <c r="D104" s="57"/>
      <c r="E104" s="79"/>
      <c r="F104" s="121">
        <f>SUM(F90:F103)</f>
        <v>0</v>
      </c>
      <c r="G104" s="9"/>
    </row>
    <row r="105" spans="1:7" ht="15" thickBot="1">
      <c r="G105" s="9"/>
    </row>
    <row r="106" spans="1:7" ht="15" thickBot="1">
      <c r="A106" s="169"/>
      <c r="B106" s="170" t="s">
        <v>216</v>
      </c>
      <c r="C106" s="171"/>
      <c r="D106" s="172"/>
      <c r="E106" s="173"/>
      <c r="F106" s="174">
        <f>F12+F43+F86+F104</f>
        <v>0</v>
      </c>
      <c r="G106" s="9"/>
    </row>
    <row r="108" spans="1:7">
      <c r="G108" s="9"/>
    </row>
  </sheetData>
  <sheetProtection algorithmName="SHA-512" hashValue="+m4eDN75gbzx60QyPw06HFr1P+jOhEViMPOt9A2oK0czs8pBIBMsSg/eJv/028LAFS5HB2ZK4B4Z4tS2MlqQxQ==" saltValue="ZlTcvRKQxSp9f2C4CEQ3r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2" manualBreakCount="2">
    <brk id="43" max="5" man="1"/>
    <brk id="56" max="5" man="1"/>
  </rowBreaks>
  <ignoredErrors>
    <ignoredError sqref="A6:A11 A17:A4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G85"/>
  <sheetViews>
    <sheetView view="pageBreakPreview" topLeftCell="A57" zoomScaleNormal="100" zoomScaleSheetLayoutView="100" workbookViewId="0">
      <selection activeCell="E68" activeCellId="6" sqref="E5:E12 E18:E21 E22 E24:E40 E45:E49 E51:E63 E68:E80"/>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124</v>
      </c>
      <c r="B1" s="178" t="s">
        <v>196</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435</v>
      </c>
      <c r="E5" s="512"/>
      <c r="F5" s="23">
        <f t="shared" ref="F5:F12" si="0">D5*E5</f>
        <v>0</v>
      </c>
    </row>
    <row r="6" spans="1:6" ht="25.5">
      <c r="A6" s="85" t="s">
        <v>55</v>
      </c>
      <c r="B6" s="24" t="s">
        <v>28</v>
      </c>
      <c r="C6" s="21" t="s">
        <v>6</v>
      </c>
      <c r="D6" s="22">
        <f>1+14+6</f>
        <v>21</v>
      </c>
      <c r="E6" s="512"/>
      <c r="F6" s="23">
        <f t="shared" si="0"/>
        <v>0</v>
      </c>
    </row>
    <row r="7" spans="1:6" ht="38.25">
      <c r="A7" s="85" t="s">
        <v>56</v>
      </c>
      <c r="B7" s="25" t="s">
        <v>120</v>
      </c>
      <c r="C7" s="21" t="s">
        <v>9</v>
      </c>
      <c r="D7" s="22">
        <v>74</v>
      </c>
      <c r="E7" s="512"/>
      <c r="F7" s="23">
        <f t="shared" si="0"/>
        <v>0</v>
      </c>
    </row>
    <row r="8" spans="1:6" ht="38.25">
      <c r="A8" s="85" t="s">
        <v>57</v>
      </c>
      <c r="B8" s="211" t="s">
        <v>121</v>
      </c>
      <c r="C8" s="21" t="s">
        <v>9</v>
      </c>
      <c r="D8" s="22">
        <v>305</v>
      </c>
      <c r="E8" s="512"/>
      <c r="F8" s="23">
        <f t="shared" si="0"/>
        <v>0</v>
      </c>
    </row>
    <row r="9" spans="1:6" ht="38.25">
      <c r="A9" s="84" t="s">
        <v>58</v>
      </c>
      <c r="B9" s="176" t="s">
        <v>53</v>
      </c>
      <c r="C9" s="26" t="s">
        <v>48</v>
      </c>
      <c r="D9" s="22">
        <v>839</v>
      </c>
      <c r="E9" s="512"/>
      <c r="F9" s="23">
        <f t="shared" si="0"/>
        <v>0</v>
      </c>
    </row>
    <row r="10" spans="1:6" ht="38.25">
      <c r="A10" s="84" t="s">
        <v>59</v>
      </c>
      <c r="B10" s="176" t="s">
        <v>122</v>
      </c>
      <c r="C10" s="26" t="s">
        <v>48</v>
      </c>
      <c r="D10" s="22">
        <v>295</v>
      </c>
      <c r="E10" s="512"/>
      <c r="F10" s="23">
        <f t="shared" si="0"/>
        <v>0</v>
      </c>
    </row>
    <row r="11" spans="1:6" ht="38.25">
      <c r="A11" s="84" t="s">
        <v>60</v>
      </c>
      <c r="B11" s="192" t="s">
        <v>199</v>
      </c>
      <c r="C11" s="137" t="s">
        <v>9</v>
      </c>
      <c r="D11" s="138">
        <v>15</v>
      </c>
      <c r="E11" s="527"/>
      <c r="F11" s="139">
        <f t="shared" si="0"/>
        <v>0</v>
      </c>
    </row>
    <row r="12" spans="1:6" ht="39" thickBot="1">
      <c r="A12" s="84" t="s">
        <v>61</v>
      </c>
      <c r="B12" s="20" t="s">
        <v>83</v>
      </c>
      <c r="C12" s="21" t="s">
        <v>47</v>
      </c>
      <c r="D12" s="22">
        <v>10</v>
      </c>
      <c r="E12" s="512"/>
      <c r="F12" s="23">
        <f t="shared" si="0"/>
        <v>0</v>
      </c>
    </row>
    <row r="13" spans="1:6" ht="15" thickBot="1">
      <c r="A13" s="116" t="s">
        <v>34</v>
      </c>
      <c r="B13" s="28" t="s">
        <v>12</v>
      </c>
      <c r="C13" s="29"/>
      <c r="D13" s="30"/>
      <c r="E13" s="65"/>
      <c r="F13" s="117">
        <f>SUM(F5:F12)</f>
        <v>0</v>
      </c>
    </row>
    <row r="14" spans="1:6" ht="15" thickBot="1">
      <c r="A14" s="86"/>
      <c r="B14" s="31"/>
      <c r="C14" s="32"/>
      <c r="D14" s="33"/>
      <c r="E14" s="66"/>
      <c r="F14" s="67"/>
    </row>
    <row r="15" spans="1:6" ht="15" thickBot="1">
      <c r="A15" s="87"/>
      <c r="B15" s="34" t="s">
        <v>35</v>
      </c>
      <c r="C15" s="35"/>
      <c r="D15" s="36"/>
      <c r="E15" s="68"/>
      <c r="F15" s="69"/>
    </row>
    <row r="16" spans="1:6" ht="51">
      <c r="A16" s="88"/>
      <c r="B16" s="37" t="s">
        <v>52</v>
      </c>
      <c r="C16" s="38"/>
      <c r="D16" s="39"/>
      <c r="E16" s="70"/>
      <c r="F16" s="71"/>
    </row>
    <row r="17" spans="1:6" ht="38.25">
      <c r="A17" s="84"/>
      <c r="B17" s="40" t="s">
        <v>25</v>
      </c>
      <c r="C17" s="21"/>
      <c r="D17" s="22"/>
      <c r="E17" s="27"/>
      <c r="F17" s="23"/>
    </row>
    <row r="18" spans="1:6" ht="25.5">
      <c r="A18" s="85" t="s">
        <v>54</v>
      </c>
      <c r="B18" s="135" t="s">
        <v>102</v>
      </c>
      <c r="C18" s="21" t="s">
        <v>47</v>
      </c>
      <c r="D18" s="22">
        <f>(982+295)*0.3</f>
        <v>383.09999999999997</v>
      </c>
      <c r="E18" s="512"/>
      <c r="F18" s="23">
        <f>D18*E18</f>
        <v>0</v>
      </c>
    </row>
    <row r="19" spans="1:6">
      <c r="A19" s="85" t="s">
        <v>55</v>
      </c>
      <c r="B19" s="20" t="s">
        <v>43</v>
      </c>
      <c r="C19" s="21" t="s">
        <v>47</v>
      </c>
      <c r="D19" s="22">
        <v>12</v>
      </c>
      <c r="E19" s="512"/>
      <c r="F19" s="23">
        <f>D19*E19</f>
        <v>0</v>
      </c>
    </row>
    <row r="20" spans="1:6" ht="38.25">
      <c r="A20" s="128" t="s">
        <v>56</v>
      </c>
      <c r="B20" s="145" t="s">
        <v>78</v>
      </c>
      <c r="C20" s="196"/>
      <c r="D20" s="197"/>
      <c r="E20" s="514"/>
      <c r="F20" s="147"/>
    </row>
    <row r="21" spans="1:6">
      <c r="A21" s="84"/>
      <c r="B21" s="198" t="s">
        <v>77</v>
      </c>
      <c r="C21" s="38" t="s">
        <v>47</v>
      </c>
      <c r="D21" s="39">
        <f>807.02*0.9</f>
        <v>726.31799999999998</v>
      </c>
      <c r="E21" s="515"/>
      <c r="F21" s="148">
        <f>D21*E21</f>
        <v>0</v>
      </c>
    </row>
    <row r="22" spans="1:6">
      <c r="A22" s="199"/>
      <c r="B22" s="200" t="s">
        <v>76</v>
      </c>
      <c r="C22" s="201" t="s">
        <v>47</v>
      </c>
      <c r="D22" s="202">
        <v>146.5</v>
      </c>
      <c r="E22" s="516"/>
      <c r="F22" s="149">
        <f>D22*E22</f>
        <v>0</v>
      </c>
    </row>
    <row r="23" spans="1:6" ht="38.25">
      <c r="A23" s="128" t="s">
        <v>57</v>
      </c>
      <c r="B23" s="145" t="s">
        <v>108</v>
      </c>
      <c r="C23" s="196"/>
      <c r="D23" s="197"/>
      <c r="E23" s="146"/>
      <c r="F23" s="147"/>
    </row>
    <row r="24" spans="1:6">
      <c r="A24" s="199"/>
      <c r="B24" s="200" t="s">
        <v>77</v>
      </c>
      <c r="C24" s="201" t="s">
        <v>47</v>
      </c>
      <c r="D24" s="202">
        <f>(982-285.28*1.2)*0.25+(295-146.64*1.2)*0.4</f>
        <v>207.52879999999999</v>
      </c>
      <c r="E24" s="516"/>
      <c r="F24" s="149">
        <f>D24*E24</f>
        <v>0</v>
      </c>
    </row>
    <row r="25" spans="1:6" ht="38.25">
      <c r="A25" s="85" t="s">
        <v>58</v>
      </c>
      <c r="B25" s="145" t="s">
        <v>79</v>
      </c>
      <c r="C25" s="21" t="s">
        <v>47</v>
      </c>
      <c r="D25" s="202">
        <f>807.02*0.1</f>
        <v>80.701999999999998</v>
      </c>
      <c r="E25" s="517"/>
      <c r="F25" s="41">
        <f>D25*E25</f>
        <v>0</v>
      </c>
    </row>
    <row r="26" spans="1:6" ht="38.25">
      <c r="A26" s="85" t="s">
        <v>59</v>
      </c>
      <c r="B26" s="176" t="s">
        <v>29</v>
      </c>
      <c r="C26" s="21" t="s">
        <v>48</v>
      </c>
      <c r="D26" s="22">
        <f>435*2*1.95</f>
        <v>1696.5</v>
      </c>
      <c r="E26" s="518"/>
      <c r="F26" s="41">
        <f t="shared" ref="F26:F40" si="1">D26*E26</f>
        <v>0</v>
      </c>
    </row>
    <row r="27" spans="1:6" ht="63.75">
      <c r="A27" s="85" t="s">
        <v>60</v>
      </c>
      <c r="B27" s="20" t="s">
        <v>73</v>
      </c>
      <c r="C27" s="21" t="s">
        <v>6</v>
      </c>
      <c r="D27" s="22">
        <v>18</v>
      </c>
      <c r="E27" s="518"/>
      <c r="F27" s="41">
        <f t="shared" si="1"/>
        <v>0</v>
      </c>
    </row>
    <row r="28" spans="1:6" ht="25.5">
      <c r="A28" s="85" t="s">
        <v>61</v>
      </c>
      <c r="B28" s="176" t="s">
        <v>44</v>
      </c>
      <c r="C28" s="26" t="s">
        <v>48</v>
      </c>
      <c r="D28" s="22">
        <f>435*0.9</f>
        <v>391.5</v>
      </c>
      <c r="E28" s="512"/>
      <c r="F28" s="41">
        <f t="shared" si="1"/>
        <v>0</v>
      </c>
    </row>
    <row r="29" spans="1:6" ht="51">
      <c r="A29" s="85" t="s">
        <v>62</v>
      </c>
      <c r="B29" s="135" t="s">
        <v>85</v>
      </c>
      <c r="C29" s="21" t="s">
        <v>47</v>
      </c>
      <c r="D29" s="22">
        <f>89*1.1</f>
        <v>97.9</v>
      </c>
      <c r="E29" s="512"/>
      <c r="F29" s="41">
        <f t="shared" si="1"/>
        <v>0</v>
      </c>
    </row>
    <row r="30" spans="1:6" ht="51">
      <c r="A30" s="85" t="s">
        <v>63</v>
      </c>
      <c r="B30" s="135" t="s">
        <v>86</v>
      </c>
      <c r="C30" s="21" t="s">
        <v>47</v>
      </c>
      <c r="D30" s="22">
        <f>156.52*1.1</f>
        <v>172.17200000000003</v>
      </c>
      <c r="E30" s="512"/>
      <c r="F30" s="41">
        <f t="shared" si="1"/>
        <v>0</v>
      </c>
    </row>
    <row r="31" spans="1:6" ht="76.5">
      <c r="A31" s="85" t="s">
        <v>64</v>
      </c>
      <c r="B31" s="20" t="s">
        <v>22</v>
      </c>
      <c r="C31" s="21" t="s">
        <v>47</v>
      </c>
      <c r="D31" s="22">
        <v>562.04</v>
      </c>
      <c r="E31" s="512"/>
      <c r="F31" s="41">
        <f t="shared" si="1"/>
        <v>0</v>
      </c>
    </row>
    <row r="32" spans="1:6" ht="38.25">
      <c r="A32" s="85" t="s">
        <v>65</v>
      </c>
      <c r="B32" s="140" t="s">
        <v>87</v>
      </c>
      <c r="C32" s="21" t="s">
        <v>47</v>
      </c>
      <c r="D32" s="22">
        <f>982*0.3*1.1</f>
        <v>324.06</v>
      </c>
      <c r="E32" s="512"/>
      <c r="F32" s="41">
        <f t="shared" si="1"/>
        <v>0</v>
      </c>
    </row>
    <row r="33" spans="1:7" ht="38.25">
      <c r="A33" s="85" t="s">
        <v>171</v>
      </c>
      <c r="B33" s="140" t="s">
        <v>170</v>
      </c>
      <c r="C33" s="21" t="s">
        <v>47</v>
      </c>
      <c r="D33" s="22">
        <f>295*0.5*1.1</f>
        <v>162.25</v>
      </c>
      <c r="E33" s="512"/>
      <c r="F33" s="41">
        <f t="shared" si="1"/>
        <v>0</v>
      </c>
    </row>
    <row r="34" spans="1:7" ht="38.25">
      <c r="A34" s="85" t="s">
        <v>67</v>
      </c>
      <c r="B34" s="140" t="s">
        <v>175</v>
      </c>
      <c r="C34" s="21" t="s">
        <v>47</v>
      </c>
      <c r="D34" s="22">
        <f>295*0.2*1.1</f>
        <v>64.900000000000006</v>
      </c>
      <c r="E34" s="512"/>
      <c r="F34" s="41">
        <f t="shared" si="1"/>
        <v>0</v>
      </c>
    </row>
    <row r="35" spans="1:7" ht="38.25">
      <c r="A35" s="85" t="s">
        <v>174</v>
      </c>
      <c r="B35" s="140" t="s">
        <v>101</v>
      </c>
      <c r="C35" s="21" t="s">
        <v>47</v>
      </c>
      <c r="D35" s="22">
        <f>982*0.25*1.1</f>
        <v>270.05</v>
      </c>
      <c r="E35" s="512"/>
      <c r="F35" s="41">
        <f t="shared" si="1"/>
        <v>0</v>
      </c>
    </row>
    <row r="36" spans="1:7">
      <c r="A36" s="85" t="s">
        <v>68</v>
      </c>
      <c r="B36" s="42" t="s">
        <v>154</v>
      </c>
      <c r="C36" s="21" t="s">
        <v>9</v>
      </c>
      <c r="D36" s="22">
        <v>312</v>
      </c>
      <c r="E36" s="512"/>
      <c r="F36" s="41">
        <f t="shared" si="1"/>
        <v>0</v>
      </c>
    </row>
    <row r="37" spans="1:7" ht="25.5">
      <c r="A37" s="85" t="s">
        <v>69</v>
      </c>
      <c r="B37" s="42" t="s">
        <v>45</v>
      </c>
      <c r="C37" s="21" t="s">
        <v>9</v>
      </c>
      <c r="D37" s="22">
        <v>435</v>
      </c>
      <c r="E37" s="512"/>
      <c r="F37" s="41">
        <f t="shared" si="1"/>
        <v>0</v>
      </c>
    </row>
    <row r="38" spans="1:7" ht="38.25">
      <c r="A38" s="85" t="s">
        <v>70</v>
      </c>
      <c r="B38" s="42" t="s">
        <v>201</v>
      </c>
      <c r="C38" s="21" t="s">
        <v>47</v>
      </c>
      <c r="D38" s="22">
        <f>((D9*0.1)+(D10*0.15)+D18+D19+D21+D22+D24-D31)*1.25</f>
        <v>1301.9460000000001</v>
      </c>
      <c r="E38" s="512"/>
      <c r="F38" s="41">
        <f t="shared" si="1"/>
        <v>0</v>
      </c>
    </row>
    <row r="39" spans="1:7" ht="25.5">
      <c r="A39" s="85" t="s">
        <v>71</v>
      </c>
      <c r="B39" s="20" t="s">
        <v>23</v>
      </c>
      <c r="C39" s="26" t="s">
        <v>48</v>
      </c>
      <c r="D39" s="22">
        <f>982+295</f>
        <v>1277</v>
      </c>
      <c r="E39" s="512"/>
      <c r="F39" s="41">
        <f t="shared" si="1"/>
        <v>0</v>
      </c>
    </row>
    <row r="40" spans="1:7" s="191" customFormat="1" ht="15" thickBot="1">
      <c r="A40" s="85" t="s">
        <v>80</v>
      </c>
      <c r="B40" s="176" t="s">
        <v>117</v>
      </c>
      <c r="C40" s="26" t="s">
        <v>48</v>
      </c>
      <c r="D40" s="22">
        <f>(D39)*1.1</f>
        <v>1404.7</v>
      </c>
      <c r="E40" s="512"/>
      <c r="F40" s="41">
        <f t="shared" si="1"/>
        <v>0</v>
      </c>
      <c r="G40" s="12"/>
    </row>
    <row r="41" spans="1:7" ht="15" thickBot="1">
      <c r="A41" s="125" t="s">
        <v>36</v>
      </c>
      <c r="B41" s="126" t="s">
        <v>11</v>
      </c>
      <c r="C41" s="44"/>
      <c r="D41" s="45"/>
      <c r="E41" s="72"/>
      <c r="F41" s="127">
        <f>SUM(F18:F40)</f>
        <v>0</v>
      </c>
      <c r="G41" s="9"/>
    </row>
    <row r="42" spans="1:7" ht="15" thickBot="1">
      <c r="A42" s="86"/>
      <c r="B42" s="203"/>
      <c r="C42" s="204"/>
      <c r="D42" s="205"/>
      <c r="E42" s="73"/>
      <c r="F42" s="66"/>
      <c r="G42" s="9"/>
    </row>
    <row r="43" spans="1:7" ht="15" thickBot="1">
      <c r="A43" s="90"/>
      <c r="B43" s="46" t="s">
        <v>37</v>
      </c>
      <c r="C43" s="47"/>
      <c r="D43" s="48"/>
      <c r="E43" s="74"/>
      <c r="F43" s="75"/>
      <c r="G43" s="9"/>
    </row>
    <row r="44" spans="1:7" ht="63.75">
      <c r="A44" s="88"/>
      <c r="B44" s="49" t="s">
        <v>24</v>
      </c>
      <c r="C44" s="17"/>
      <c r="D44" s="18"/>
      <c r="E44" s="64"/>
      <c r="F44" s="19"/>
      <c r="G44" s="9"/>
    </row>
    <row r="45" spans="1:7" ht="76.5">
      <c r="A45" s="89">
        <v>1</v>
      </c>
      <c r="B45" s="42" t="s">
        <v>98</v>
      </c>
      <c r="C45" s="21" t="s">
        <v>9</v>
      </c>
      <c r="D45" s="22">
        <v>305</v>
      </c>
      <c r="E45" s="519"/>
      <c r="F45" s="43">
        <f t="shared" ref="F45:F47" si="2">D45*E45</f>
        <v>0</v>
      </c>
      <c r="G45" s="9"/>
    </row>
    <row r="46" spans="1:7">
      <c r="A46" s="133"/>
      <c r="B46" s="207" t="s">
        <v>136</v>
      </c>
      <c r="C46" s="201" t="s">
        <v>6</v>
      </c>
      <c r="D46" s="22">
        <v>12</v>
      </c>
      <c r="E46" s="519"/>
      <c r="F46" s="43">
        <f t="shared" si="2"/>
        <v>0</v>
      </c>
      <c r="G46" s="9"/>
    </row>
    <row r="47" spans="1:7">
      <c r="A47" s="89"/>
      <c r="B47" s="177" t="s">
        <v>137</v>
      </c>
      <c r="C47" s="21" t="s">
        <v>6</v>
      </c>
      <c r="D47" s="22">
        <v>1</v>
      </c>
      <c r="E47" s="519"/>
      <c r="F47" s="43">
        <f t="shared" si="2"/>
        <v>0</v>
      </c>
      <c r="G47" s="9"/>
    </row>
    <row r="48" spans="1:7" ht="76.5">
      <c r="A48" s="89" t="s">
        <v>55</v>
      </c>
      <c r="B48" s="42" t="s">
        <v>99</v>
      </c>
      <c r="C48" s="21" t="s">
        <v>9</v>
      </c>
      <c r="D48" s="22">
        <v>140</v>
      </c>
      <c r="E48" s="519"/>
      <c r="F48" s="43">
        <f t="shared" ref="F48:F49" si="3">D48*E48</f>
        <v>0</v>
      </c>
      <c r="G48" s="9"/>
    </row>
    <row r="49" spans="1:7">
      <c r="A49" s="89"/>
      <c r="B49" s="177" t="s">
        <v>110</v>
      </c>
      <c r="C49" s="21" t="s">
        <v>6</v>
      </c>
      <c r="D49" s="22">
        <v>1</v>
      </c>
      <c r="E49" s="519"/>
      <c r="F49" s="43">
        <f t="shared" si="3"/>
        <v>0</v>
      </c>
      <c r="G49" s="9"/>
    </row>
    <row r="50" spans="1:7" ht="191.25">
      <c r="A50" s="129" t="s">
        <v>56</v>
      </c>
      <c r="B50" s="208" t="s">
        <v>100</v>
      </c>
      <c r="C50" s="196"/>
      <c r="D50" s="197"/>
      <c r="E50" s="209"/>
      <c r="F50" s="130"/>
      <c r="G50" s="9"/>
    </row>
    <row r="51" spans="1:7">
      <c r="A51" s="133"/>
      <c r="B51" s="207" t="s">
        <v>30</v>
      </c>
      <c r="C51" s="201" t="s">
        <v>6</v>
      </c>
      <c r="D51" s="202">
        <v>10</v>
      </c>
      <c r="E51" s="520"/>
      <c r="F51" s="134">
        <f t="shared" ref="F51:F61" si="4">D51*E51</f>
        <v>0</v>
      </c>
      <c r="G51" s="9"/>
    </row>
    <row r="52" spans="1:7">
      <c r="A52" s="133"/>
      <c r="B52" s="207" t="s">
        <v>31</v>
      </c>
      <c r="C52" s="201" t="s">
        <v>6</v>
      </c>
      <c r="D52" s="202">
        <v>2</v>
      </c>
      <c r="E52" s="520"/>
      <c r="F52" s="134">
        <f t="shared" si="4"/>
        <v>0</v>
      </c>
      <c r="G52" s="9"/>
    </row>
    <row r="53" spans="1:7">
      <c r="A53" s="133"/>
      <c r="B53" s="207" t="s">
        <v>198</v>
      </c>
      <c r="C53" s="201" t="s">
        <v>6</v>
      </c>
      <c r="D53" s="202">
        <v>1</v>
      </c>
      <c r="E53" s="520"/>
      <c r="F53" s="134">
        <f t="shared" ref="F53" si="5">D53*E53</f>
        <v>0</v>
      </c>
      <c r="G53" s="9"/>
    </row>
    <row r="54" spans="1:7">
      <c r="A54" s="133"/>
      <c r="B54" s="207" t="s">
        <v>202</v>
      </c>
      <c r="C54" s="201" t="s">
        <v>6</v>
      </c>
      <c r="D54" s="202">
        <v>2</v>
      </c>
      <c r="E54" s="520"/>
      <c r="F54" s="134">
        <f t="shared" ref="F54" si="6">D54*E54</f>
        <v>0</v>
      </c>
      <c r="G54" s="9"/>
    </row>
    <row r="55" spans="1:7" ht="51">
      <c r="A55" s="89" t="s">
        <v>57</v>
      </c>
      <c r="B55" s="42" t="s">
        <v>114</v>
      </c>
      <c r="C55" s="21" t="s">
        <v>6</v>
      </c>
      <c r="D55" s="22">
        <v>1</v>
      </c>
      <c r="E55" s="512"/>
      <c r="F55" s="43">
        <f t="shared" si="4"/>
        <v>0</v>
      </c>
      <c r="G55" s="9"/>
    </row>
    <row r="56" spans="1:7" ht="102">
      <c r="A56" s="89" t="s">
        <v>58</v>
      </c>
      <c r="B56" s="176" t="s">
        <v>89</v>
      </c>
      <c r="C56" s="21" t="s">
        <v>6</v>
      </c>
      <c r="D56" s="22">
        <v>6</v>
      </c>
      <c r="E56" s="518"/>
      <c r="F56" s="43">
        <f t="shared" si="4"/>
        <v>0</v>
      </c>
      <c r="G56" s="9"/>
    </row>
    <row r="57" spans="1:7" ht="51">
      <c r="A57" s="89" t="s">
        <v>59</v>
      </c>
      <c r="B57" s="20" t="s">
        <v>90</v>
      </c>
      <c r="C57" s="21" t="s">
        <v>6</v>
      </c>
      <c r="D57" s="22">
        <v>6</v>
      </c>
      <c r="E57" s="518"/>
      <c r="F57" s="43">
        <f t="shared" si="4"/>
        <v>0</v>
      </c>
      <c r="G57" s="9"/>
    </row>
    <row r="58" spans="1:7" ht="38.25">
      <c r="A58" s="89" t="s">
        <v>60</v>
      </c>
      <c r="B58" s="142" t="s">
        <v>91</v>
      </c>
      <c r="C58" s="21" t="s">
        <v>6</v>
      </c>
      <c r="D58" s="143">
        <v>4</v>
      </c>
      <c r="E58" s="513"/>
      <c r="F58" s="43">
        <f t="shared" si="4"/>
        <v>0</v>
      </c>
    </row>
    <row r="59" spans="1:7" ht="38.25">
      <c r="A59" s="89" t="s">
        <v>393</v>
      </c>
      <c r="B59" s="142" t="s">
        <v>203</v>
      </c>
      <c r="C59" s="21" t="s">
        <v>6</v>
      </c>
      <c r="D59" s="143">
        <v>1</v>
      </c>
      <c r="E59" s="513"/>
      <c r="F59" s="43">
        <f t="shared" ref="F59" si="7">D59*E59</f>
        <v>0</v>
      </c>
    </row>
    <row r="60" spans="1:7" ht="89.25">
      <c r="A60" s="89" t="s">
        <v>61</v>
      </c>
      <c r="B60" s="176" t="s">
        <v>81</v>
      </c>
      <c r="C60" s="21" t="s">
        <v>9</v>
      </c>
      <c r="D60" s="22">
        <f>8*4</f>
        <v>32</v>
      </c>
      <c r="E60" s="518"/>
      <c r="F60" s="43">
        <f t="shared" si="4"/>
        <v>0</v>
      </c>
    </row>
    <row r="61" spans="1:7">
      <c r="A61" s="131"/>
      <c r="B61" s="210" t="s">
        <v>115</v>
      </c>
      <c r="C61" s="38" t="s">
        <v>6</v>
      </c>
      <c r="D61" s="39">
        <v>4</v>
      </c>
      <c r="E61" s="522"/>
      <c r="F61" s="132">
        <f t="shared" si="4"/>
        <v>0</v>
      </c>
    </row>
    <row r="62" spans="1:7" ht="89.25">
      <c r="A62" s="89" t="s">
        <v>394</v>
      </c>
      <c r="B62" s="176" t="s">
        <v>204</v>
      </c>
      <c r="C62" s="21" t="s">
        <v>9</v>
      </c>
      <c r="D62" s="22">
        <v>8</v>
      </c>
      <c r="E62" s="518"/>
      <c r="F62" s="43">
        <f t="shared" ref="F62:F63" si="8">D62*E62</f>
        <v>0</v>
      </c>
    </row>
    <row r="63" spans="1:7" ht="15" thickBot="1">
      <c r="A63" s="131"/>
      <c r="B63" s="210" t="s">
        <v>205</v>
      </c>
      <c r="C63" s="38" t="s">
        <v>6</v>
      </c>
      <c r="D63" s="39">
        <v>1</v>
      </c>
      <c r="E63" s="522"/>
      <c r="F63" s="132">
        <f t="shared" si="8"/>
        <v>0</v>
      </c>
    </row>
    <row r="64" spans="1:7" ht="15" thickBot="1">
      <c r="A64" s="122" t="s">
        <v>38</v>
      </c>
      <c r="B64" s="124" t="s">
        <v>26</v>
      </c>
      <c r="C64" s="50"/>
      <c r="D64" s="51"/>
      <c r="E64" s="76"/>
      <c r="F64" s="123">
        <f>SUM(F45:F63)</f>
        <v>0</v>
      </c>
    </row>
    <row r="65" spans="1:7" ht="15" thickBot="1">
      <c r="A65" s="86"/>
      <c r="B65" s="31"/>
      <c r="C65" s="32"/>
      <c r="D65" s="33"/>
      <c r="E65" s="66"/>
      <c r="F65" s="66"/>
    </row>
    <row r="66" spans="1:7" ht="15" thickBot="1">
      <c r="A66" s="87"/>
      <c r="B66" s="52" t="s">
        <v>39</v>
      </c>
      <c r="C66" s="53"/>
      <c r="D66" s="54"/>
      <c r="E66" s="77"/>
      <c r="F66" s="78"/>
    </row>
    <row r="67" spans="1:7" ht="63.75">
      <c r="A67" s="84"/>
      <c r="B67" s="37" t="s">
        <v>8</v>
      </c>
      <c r="C67" s="38"/>
      <c r="D67" s="39"/>
      <c r="E67" s="70"/>
      <c r="F67" s="71"/>
    </row>
    <row r="68" spans="1:7" ht="25.5">
      <c r="A68" s="85" t="s">
        <v>54</v>
      </c>
      <c r="B68" s="55" t="s">
        <v>42</v>
      </c>
      <c r="C68" s="26" t="s">
        <v>9</v>
      </c>
      <c r="D68" s="81">
        <v>435</v>
      </c>
      <c r="E68" s="524"/>
      <c r="F68" s="23">
        <f t="shared" ref="F68:F78" si="9">D68*E68</f>
        <v>0</v>
      </c>
    </row>
    <row r="69" spans="1:7" ht="25.5">
      <c r="A69" s="85" t="s">
        <v>55</v>
      </c>
      <c r="B69" s="55" t="s">
        <v>104</v>
      </c>
      <c r="C69" s="26" t="s">
        <v>9</v>
      </c>
      <c r="D69" s="81">
        <f>D68</f>
        <v>435</v>
      </c>
      <c r="E69" s="524"/>
      <c r="F69" s="23">
        <f>D69*E69</f>
        <v>0</v>
      </c>
    </row>
    <row r="70" spans="1:7">
      <c r="A70" s="85" t="s">
        <v>56</v>
      </c>
      <c r="B70" s="55" t="s">
        <v>105</v>
      </c>
      <c r="C70" s="26" t="s">
        <v>9</v>
      </c>
      <c r="D70" s="81">
        <f>D68</f>
        <v>435</v>
      </c>
      <c r="E70" s="524"/>
      <c r="F70" s="23">
        <f>D70*E70</f>
        <v>0</v>
      </c>
    </row>
    <row r="71" spans="1:7" ht="25.5">
      <c r="A71" s="85" t="s">
        <v>57</v>
      </c>
      <c r="B71" s="184" t="s">
        <v>118</v>
      </c>
      <c r="C71" s="21" t="s">
        <v>48</v>
      </c>
      <c r="D71" s="22">
        <v>839</v>
      </c>
      <c r="E71" s="525"/>
      <c r="F71" s="23">
        <f>D71*E71</f>
        <v>0</v>
      </c>
    </row>
    <row r="72" spans="1:7" ht="25.5">
      <c r="A72" s="89" t="s">
        <v>58</v>
      </c>
      <c r="B72" s="141" t="s">
        <v>119</v>
      </c>
      <c r="C72" s="21" t="s">
        <v>48</v>
      </c>
      <c r="D72" s="22">
        <v>839</v>
      </c>
      <c r="E72" s="525"/>
      <c r="F72" s="23">
        <f t="shared" si="9"/>
        <v>0</v>
      </c>
    </row>
    <row r="73" spans="1:7" ht="25.5">
      <c r="A73" s="85" t="s">
        <v>59</v>
      </c>
      <c r="B73" s="212" t="s">
        <v>176</v>
      </c>
      <c r="C73" s="21" t="s">
        <v>48</v>
      </c>
      <c r="D73" s="22">
        <v>295</v>
      </c>
      <c r="E73" s="526"/>
      <c r="F73" s="213">
        <f>D73*E73</f>
        <v>0</v>
      </c>
    </row>
    <row r="74" spans="1:7" ht="25.5">
      <c r="A74" s="89" t="s">
        <v>60</v>
      </c>
      <c r="B74" s="214" t="s">
        <v>177</v>
      </c>
      <c r="C74" s="21" t="s">
        <v>48</v>
      </c>
      <c r="D74" s="22">
        <v>295</v>
      </c>
      <c r="E74" s="526"/>
      <c r="F74" s="213">
        <f t="shared" ref="F74:F76" si="10">D74*E74</f>
        <v>0</v>
      </c>
    </row>
    <row r="75" spans="1:7">
      <c r="A75" s="89" t="s">
        <v>61</v>
      </c>
      <c r="B75" s="141" t="s">
        <v>188</v>
      </c>
      <c r="C75" s="21" t="s">
        <v>9</v>
      </c>
      <c r="D75" s="22">
        <v>120</v>
      </c>
      <c r="E75" s="525"/>
      <c r="F75" s="23">
        <f t="shared" si="10"/>
        <v>0</v>
      </c>
    </row>
    <row r="76" spans="1:7" ht="38.25">
      <c r="A76" s="84" t="s">
        <v>62</v>
      </c>
      <c r="B76" s="192" t="s">
        <v>200</v>
      </c>
      <c r="C76" s="137" t="s">
        <v>9</v>
      </c>
      <c r="D76" s="138">
        <f>3*5</f>
        <v>15</v>
      </c>
      <c r="E76" s="527"/>
      <c r="F76" s="139">
        <f t="shared" si="10"/>
        <v>0</v>
      </c>
    </row>
    <row r="77" spans="1:7" ht="25.5">
      <c r="A77" s="85" t="s">
        <v>63</v>
      </c>
      <c r="B77" s="24" t="s">
        <v>94</v>
      </c>
      <c r="C77" s="21" t="s">
        <v>47</v>
      </c>
      <c r="D77" s="22">
        <v>6</v>
      </c>
      <c r="E77" s="512"/>
      <c r="F77" s="23">
        <f t="shared" si="9"/>
        <v>0</v>
      </c>
    </row>
    <row r="78" spans="1:7" ht="51">
      <c r="A78" s="85" t="s">
        <v>64</v>
      </c>
      <c r="B78" s="24" t="s">
        <v>21</v>
      </c>
      <c r="C78" s="21" t="s">
        <v>6</v>
      </c>
      <c r="D78" s="22">
        <v>10</v>
      </c>
      <c r="E78" s="512"/>
      <c r="F78" s="23">
        <f t="shared" si="9"/>
        <v>0</v>
      </c>
    </row>
    <row r="79" spans="1:7" s="150" customFormat="1" ht="51">
      <c r="A79" s="85" t="s">
        <v>65</v>
      </c>
      <c r="B79" s="24" t="s">
        <v>96</v>
      </c>
      <c r="C79" s="21" t="s">
        <v>6</v>
      </c>
      <c r="D79" s="22">
        <v>2</v>
      </c>
      <c r="E79" s="512"/>
      <c r="F79" s="23">
        <f>D79*E79</f>
        <v>0</v>
      </c>
      <c r="G79" s="58"/>
    </row>
    <row r="80" spans="1:7" s="150" customFormat="1" ht="51.75" thickBot="1">
      <c r="A80" s="85" t="s">
        <v>66</v>
      </c>
      <c r="B80" s="175" t="s">
        <v>195</v>
      </c>
      <c r="C80" s="21" t="s">
        <v>6</v>
      </c>
      <c r="D80" s="22">
        <v>2</v>
      </c>
      <c r="E80" s="512"/>
      <c r="F80" s="23">
        <f>D80*E80</f>
        <v>0</v>
      </c>
      <c r="G80" s="58"/>
    </row>
    <row r="81" spans="1:7" ht="15" thickBot="1">
      <c r="A81" s="119" t="s">
        <v>40</v>
      </c>
      <c r="B81" s="120" t="s">
        <v>10</v>
      </c>
      <c r="C81" s="56"/>
      <c r="D81" s="57"/>
      <c r="E81" s="79"/>
      <c r="F81" s="121">
        <f>SUM(F68:F80)</f>
        <v>0</v>
      </c>
      <c r="G81" s="9"/>
    </row>
    <row r="82" spans="1:7" ht="15" thickBot="1">
      <c r="G82" s="9"/>
    </row>
    <row r="83" spans="1:7" ht="15" thickBot="1">
      <c r="A83" s="169"/>
      <c r="B83" s="170" t="s">
        <v>197</v>
      </c>
      <c r="C83" s="171"/>
      <c r="D83" s="172"/>
      <c r="E83" s="173"/>
      <c r="F83" s="174">
        <f>F13+F41+F64+F81</f>
        <v>0</v>
      </c>
      <c r="G83" s="9"/>
    </row>
    <row r="85" spans="1:7">
      <c r="G85" s="9"/>
    </row>
  </sheetData>
  <sheetProtection algorithmName="SHA-512" hashValue="EXxaStcgKgvOFjM6IZVCqjxShM2niaQxK2MZ2KKImQS5BuVIUabKp3cJLX8Cs0fRxhoAAh5fNxYhV2NPbgMrHg==" saltValue="jTQ1D1dMei6MHrMEORZ/xA=="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4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G71"/>
  <sheetViews>
    <sheetView view="pageBreakPreview" topLeftCell="A55" zoomScaleNormal="100" zoomScaleSheetLayoutView="100" workbookViewId="0">
      <selection activeCell="H61" sqref="H61"/>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125</v>
      </c>
      <c r="B1" s="178" t="s">
        <v>192</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125</v>
      </c>
      <c r="E5" s="512"/>
      <c r="F5" s="23">
        <f t="shared" ref="F5:F10" si="0">D5*E5</f>
        <v>0</v>
      </c>
    </row>
    <row r="6" spans="1:6" ht="25.5">
      <c r="A6" s="85" t="s">
        <v>55</v>
      </c>
      <c r="B6" s="24" t="s">
        <v>28</v>
      </c>
      <c r="C6" s="21" t="s">
        <v>6</v>
      </c>
      <c r="D6" s="22">
        <f>1+4+2</f>
        <v>7</v>
      </c>
      <c r="E6" s="512"/>
      <c r="F6" s="23">
        <f t="shared" si="0"/>
        <v>0</v>
      </c>
    </row>
    <row r="7" spans="1:6" ht="38.25">
      <c r="A7" s="85" t="s">
        <v>56</v>
      </c>
      <c r="B7" s="211" t="s">
        <v>121</v>
      </c>
      <c r="C7" s="21" t="s">
        <v>9</v>
      </c>
      <c r="D7" s="22">
        <v>163</v>
      </c>
      <c r="E7" s="512"/>
      <c r="F7" s="23">
        <f t="shared" si="0"/>
        <v>0</v>
      </c>
    </row>
    <row r="8" spans="1:6" ht="38.25">
      <c r="A8" s="84" t="s">
        <v>57</v>
      </c>
      <c r="B8" s="176" t="s">
        <v>122</v>
      </c>
      <c r="C8" s="26" t="s">
        <v>48</v>
      </c>
      <c r="D8" s="22">
        <v>321</v>
      </c>
      <c r="E8" s="512"/>
      <c r="F8" s="23">
        <f t="shared" si="0"/>
        <v>0</v>
      </c>
    </row>
    <row r="9" spans="1:6" ht="38.25">
      <c r="A9" s="84" t="s">
        <v>58</v>
      </c>
      <c r="B9" s="192" t="s">
        <v>75</v>
      </c>
      <c r="C9" s="137" t="s">
        <v>9</v>
      </c>
      <c r="D9" s="138">
        <v>3</v>
      </c>
      <c r="E9" s="527"/>
      <c r="F9" s="139">
        <f t="shared" si="0"/>
        <v>0</v>
      </c>
    </row>
    <row r="10" spans="1:6" ht="39" thickBot="1">
      <c r="A10" s="84" t="s">
        <v>59</v>
      </c>
      <c r="B10" s="20" t="s">
        <v>83</v>
      </c>
      <c r="C10" s="21" t="s">
        <v>47</v>
      </c>
      <c r="D10" s="22">
        <v>3</v>
      </c>
      <c r="E10" s="512"/>
      <c r="F10" s="23">
        <f t="shared" si="0"/>
        <v>0</v>
      </c>
    </row>
    <row r="11" spans="1:6" ht="15" thickBot="1">
      <c r="A11" s="116" t="s">
        <v>34</v>
      </c>
      <c r="B11" s="28" t="s">
        <v>12</v>
      </c>
      <c r="C11" s="29"/>
      <c r="D11" s="30"/>
      <c r="E11" s="65"/>
      <c r="F11" s="117">
        <f>SUM(F5:F10)</f>
        <v>0</v>
      </c>
    </row>
    <row r="12" spans="1:6" ht="15" thickBot="1">
      <c r="A12" s="86"/>
      <c r="B12" s="31"/>
      <c r="C12" s="32"/>
      <c r="D12" s="33"/>
      <c r="E12" s="66"/>
      <c r="F12" s="67"/>
    </row>
    <row r="13" spans="1:6" ht="15" thickBot="1">
      <c r="A13" s="87"/>
      <c r="B13" s="34" t="s">
        <v>35</v>
      </c>
      <c r="C13" s="35"/>
      <c r="D13" s="36"/>
      <c r="E13" s="68"/>
      <c r="F13" s="69"/>
    </row>
    <row r="14" spans="1:6" ht="51">
      <c r="A14" s="88"/>
      <c r="B14" s="37" t="s">
        <v>52</v>
      </c>
      <c r="C14" s="38"/>
      <c r="D14" s="39"/>
      <c r="E14" s="70"/>
      <c r="F14" s="71"/>
    </row>
    <row r="15" spans="1:6" ht="38.25">
      <c r="A15" s="84"/>
      <c r="B15" s="40" t="s">
        <v>25</v>
      </c>
      <c r="C15" s="21"/>
      <c r="D15" s="22"/>
      <c r="E15" s="27"/>
      <c r="F15" s="23"/>
    </row>
    <row r="16" spans="1:6" ht="38.25">
      <c r="A16" s="85" t="s">
        <v>54</v>
      </c>
      <c r="B16" s="20" t="s">
        <v>128</v>
      </c>
      <c r="C16" s="21" t="s">
        <v>47</v>
      </c>
      <c r="D16" s="22">
        <f>17*2.5*0.2</f>
        <v>8.5</v>
      </c>
      <c r="E16" s="512"/>
      <c r="F16" s="23">
        <f>D16*E16</f>
        <v>0</v>
      </c>
    </row>
    <row r="17" spans="1:6" ht="25.5">
      <c r="A17" s="85" t="s">
        <v>55</v>
      </c>
      <c r="B17" s="135" t="s">
        <v>102</v>
      </c>
      <c r="C17" s="21" t="s">
        <v>47</v>
      </c>
      <c r="D17" s="22">
        <f>321*0.3</f>
        <v>96.3</v>
      </c>
      <c r="E17" s="512"/>
      <c r="F17" s="23">
        <f>D17*E17</f>
        <v>0</v>
      </c>
    </row>
    <row r="18" spans="1:6">
      <c r="A18" s="85" t="s">
        <v>56</v>
      </c>
      <c r="B18" s="20" t="s">
        <v>43</v>
      </c>
      <c r="C18" s="21" t="s">
        <v>47</v>
      </c>
      <c r="D18" s="22">
        <v>5</v>
      </c>
      <c r="E18" s="512"/>
      <c r="F18" s="23">
        <f>D18*E18</f>
        <v>0</v>
      </c>
    </row>
    <row r="19" spans="1:6" ht="38.25">
      <c r="A19" s="128" t="s">
        <v>57</v>
      </c>
      <c r="B19" s="145" t="s">
        <v>78</v>
      </c>
      <c r="C19" s="196"/>
      <c r="D19" s="197"/>
      <c r="E19" s="146"/>
      <c r="F19" s="147"/>
    </row>
    <row r="20" spans="1:6">
      <c r="A20" s="84"/>
      <c r="B20" s="198" t="s">
        <v>77</v>
      </c>
      <c r="C20" s="38" t="s">
        <v>47</v>
      </c>
      <c r="D20" s="39">
        <f>256*0.9</f>
        <v>230.4</v>
      </c>
      <c r="E20" s="515"/>
      <c r="F20" s="148">
        <f>D20*E20</f>
        <v>0</v>
      </c>
    </row>
    <row r="21" spans="1:6" ht="38.25">
      <c r="A21" s="128" t="s">
        <v>58</v>
      </c>
      <c r="B21" s="145" t="s">
        <v>108</v>
      </c>
      <c r="C21" s="196"/>
      <c r="D21" s="9"/>
      <c r="E21" s="146"/>
      <c r="F21" s="147"/>
    </row>
    <row r="22" spans="1:6">
      <c r="A22" s="199"/>
      <c r="B22" s="200" t="s">
        <v>77</v>
      </c>
      <c r="C22" s="201" t="s">
        <v>47</v>
      </c>
      <c r="D22" s="197">
        <f>(321-(107*1.2))*0.4</f>
        <v>77.040000000000006</v>
      </c>
      <c r="E22" s="516"/>
      <c r="F22" s="148">
        <f>D22*E22</f>
        <v>0</v>
      </c>
    </row>
    <row r="23" spans="1:6" ht="38.25">
      <c r="A23" s="85" t="s">
        <v>59</v>
      </c>
      <c r="B23" s="145" t="s">
        <v>79</v>
      </c>
      <c r="C23" s="21" t="s">
        <v>47</v>
      </c>
      <c r="D23" s="202">
        <f>256*0.1</f>
        <v>25.6</v>
      </c>
      <c r="E23" s="517"/>
      <c r="F23" s="41">
        <f>D23*E23</f>
        <v>0</v>
      </c>
    </row>
    <row r="24" spans="1:6" ht="38.25">
      <c r="A24" s="85" t="s">
        <v>60</v>
      </c>
      <c r="B24" s="176" t="s">
        <v>29</v>
      </c>
      <c r="C24" s="21" t="s">
        <v>48</v>
      </c>
      <c r="D24" s="22">
        <f>125*2*1.75</f>
        <v>437.5</v>
      </c>
      <c r="E24" s="518"/>
      <c r="F24" s="41">
        <f t="shared" ref="F24:F37" si="1">D24*E24</f>
        <v>0</v>
      </c>
    </row>
    <row r="25" spans="1:6" ht="63.75">
      <c r="A25" s="85" t="s">
        <v>61</v>
      </c>
      <c r="B25" s="20" t="s">
        <v>73</v>
      </c>
      <c r="C25" s="21" t="s">
        <v>6</v>
      </c>
      <c r="D25" s="22">
        <v>5</v>
      </c>
      <c r="E25" s="518"/>
      <c r="F25" s="41">
        <f t="shared" si="1"/>
        <v>0</v>
      </c>
    </row>
    <row r="26" spans="1:6" ht="25.5">
      <c r="A26" s="85" t="s">
        <v>62</v>
      </c>
      <c r="B26" s="176" t="s">
        <v>44</v>
      </c>
      <c r="C26" s="26" t="s">
        <v>48</v>
      </c>
      <c r="D26" s="22">
        <f>125*0.9</f>
        <v>112.5</v>
      </c>
      <c r="E26" s="512"/>
      <c r="F26" s="41">
        <f t="shared" si="1"/>
        <v>0</v>
      </c>
    </row>
    <row r="27" spans="1:6" ht="51">
      <c r="A27" s="85" t="s">
        <v>63</v>
      </c>
      <c r="B27" s="135" t="s">
        <v>85</v>
      </c>
      <c r="C27" s="21" t="s">
        <v>47</v>
      </c>
      <c r="D27" s="22">
        <f>21.04*1.1</f>
        <v>23.144000000000002</v>
      </c>
      <c r="E27" s="512"/>
      <c r="F27" s="41">
        <f t="shared" si="1"/>
        <v>0</v>
      </c>
    </row>
    <row r="28" spans="1:6" ht="51">
      <c r="A28" s="85" t="s">
        <v>64</v>
      </c>
      <c r="B28" s="135" t="s">
        <v>86</v>
      </c>
      <c r="C28" s="21" t="s">
        <v>47</v>
      </c>
      <c r="D28" s="22">
        <f>42*1.1</f>
        <v>46.2</v>
      </c>
      <c r="E28" s="512"/>
      <c r="F28" s="41">
        <f t="shared" si="1"/>
        <v>0</v>
      </c>
    </row>
    <row r="29" spans="1:6" ht="76.5">
      <c r="A29" s="85" t="s">
        <v>65</v>
      </c>
      <c r="B29" s="20" t="s">
        <v>22</v>
      </c>
      <c r="C29" s="21" t="s">
        <v>47</v>
      </c>
      <c r="D29" s="22">
        <v>140.96</v>
      </c>
      <c r="E29" s="512"/>
      <c r="F29" s="41">
        <f t="shared" si="1"/>
        <v>0</v>
      </c>
    </row>
    <row r="30" spans="1:6" ht="38.25">
      <c r="A30" s="85" t="s">
        <v>66</v>
      </c>
      <c r="B30" s="140" t="s">
        <v>170</v>
      </c>
      <c r="C30" s="21" t="s">
        <v>47</v>
      </c>
      <c r="D30" s="22">
        <f>321*0.5*1.1</f>
        <v>176.55</v>
      </c>
      <c r="E30" s="512"/>
      <c r="F30" s="41">
        <f t="shared" si="1"/>
        <v>0</v>
      </c>
    </row>
    <row r="31" spans="1:6" ht="38.25">
      <c r="A31" s="85" t="s">
        <v>67</v>
      </c>
      <c r="B31" s="140" t="s">
        <v>175</v>
      </c>
      <c r="C31" s="21" t="s">
        <v>47</v>
      </c>
      <c r="D31" s="22">
        <f>321*0.2*1.1</f>
        <v>70.62</v>
      </c>
      <c r="E31" s="512"/>
      <c r="F31" s="41">
        <f t="shared" si="1"/>
        <v>0</v>
      </c>
    </row>
    <row r="32" spans="1:6" ht="25.5">
      <c r="A32" s="85" t="s">
        <v>68</v>
      </c>
      <c r="B32" s="42" t="s">
        <v>45</v>
      </c>
      <c r="C32" s="21" t="s">
        <v>9</v>
      </c>
      <c r="D32" s="22">
        <v>125</v>
      </c>
      <c r="E32" s="512"/>
      <c r="F32" s="41">
        <f t="shared" si="1"/>
        <v>0</v>
      </c>
    </row>
    <row r="33" spans="1:7" ht="38.25">
      <c r="A33" s="85" t="s">
        <v>69</v>
      </c>
      <c r="B33" s="42" t="s">
        <v>194</v>
      </c>
      <c r="C33" s="21" t="s">
        <v>47</v>
      </c>
      <c r="D33" s="22">
        <f>((D8*0.15)+D17+D18+D20+D22-D29)*1.25</f>
        <v>394.91250000000008</v>
      </c>
      <c r="E33" s="512"/>
      <c r="F33" s="41">
        <f t="shared" si="1"/>
        <v>0</v>
      </c>
    </row>
    <row r="34" spans="1:7" ht="25.5">
      <c r="A34" s="85" t="s">
        <v>70</v>
      </c>
      <c r="B34" s="20" t="s">
        <v>23</v>
      </c>
      <c r="C34" s="26" t="s">
        <v>48</v>
      </c>
      <c r="D34" s="22">
        <v>321</v>
      </c>
      <c r="E34" s="512"/>
      <c r="F34" s="41">
        <f t="shared" si="1"/>
        <v>0</v>
      </c>
    </row>
    <row r="35" spans="1:7" s="191" customFormat="1">
      <c r="A35" s="85" t="s">
        <v>71</v>
      </c>
      <c r="B35" s="176" t="s">
        <v>117</v>
      </c>
      <c r="C35" s="26" t="s">
        <v>48</v>
      </c>
      <c r="D35" s="22">
        <f>(D34)*1.1</f>
        <v>353.1</v>
      </c>
      <c r="E35" s="512"/>
      <c r="F35" s="41">
        <f t="shared" si="1"/>
        <v>0</v>
      </c>
      <c r="G35" s="12"/>
    </row>
    <row r="36" spans="1:7" ht="38.25">
      <c r="A36" s="85" t="s">
        <v>80</v>
      </c>
      <c r="B36" s="42" t="s">
        <v>173</v>
      </c>
      <c r="C36" s="21" t="s">
        <v>47</v>
      </c>
      <c r="D36" s="22">
        <f>D16</f>
        <v>8.5</v>
      </c>
      <c r="E36" s="512"/>
      <c r="F36" s="41">
        <f t="shared" si="1"/>
        <v>0</v>
      </c>
    </row>
    <row r="37" spans="1:7" ht="26.25" thickBot="1">
      <c r="A37" s="85" t="s">
        <v>103</v>
      </c>
      <c r="B37" s="177" t="s">
        <v>74</v>
      </c>
      <c r="C37" s="21" t="s">
        <v>48</v>
      </c>
      <c r="D37" s="22">
        <f>D36/0.2</f>
        <v>42.5</v>
      </c>
      <c r="E37" s="512"/>
      <c r="F37" s="41">
        <f t="shared" si="1"/>
        <v>0</v>
      </c>
    </row>
    <row r="38" spans="1:7" ht="15" thickBot="1">
      <c r="A38" s="125" t="s">
        <v>36</v>
      </c>
      <c r="B38" s="126" t="s">
        <v>11</v>
      </c>
      <c r="C38" s="44"/>
      <c r="D38" s="45"/>
      <c r="E38" s="72"/>
      <c r="F38" s="127">
        <f>SUM(F16:F37)</f>
        <v>0</v>
      </c>
      <c r="G38" s="9"/>
    </row>
    <row r="39" spans="1:7" ht="15" thickBot="1">
      <c r="A39" s="86"/>
      <c r="B39" s="203"/>
      <c r="C39" s="204"/>
      <c r="D39" s="205"/>
      <c r="E39" s="73"/>
      <c r="F39" s="66"/>
      <c r="G39" s="9"/>
    </row>
    <row r="40" spans="1:7" ht="15" thickBot="1">
      <c r="A40" s="90"/>
      <c r="B40" s="46" t="s">
        <v>37</v>
      </c>
      <c r="C40" s="47"/>
      <c r="D40" s="48"/>
      <c r="E40" s="74"/>
      <c r="F40" s="75"/>
      <c r="G40" s="9"/>
    </row>
    <row r="41" spans="1:7" ht="63.75">
      <c r="A41" s="88"/>
      <c r="B41" s="49" t="s">
        <v>24</v>
      </c>
      <c r="C41" s="17"/>
      <c r="D41" s="18"/>
      <c r="E41" s="64"/>
      <c r="F41" s="19"/>
      <c r="G41" s="9"/>
    </row>
    <row r="42" spans="1:7" ht="76.5">
      <c r="A42" s="89">
        <v>1</v>
      </c>
      <c r="B42" s="42" t="s">
        <v>98</v>
      </c>
      <c r="C42" s="21" t="s">
        <v>9</v>
      </c>
      <c r="D42" s="22">
        <v>135</v>
      </c>
      <c r="E42" s="519"/>
      <c r="F42" s="43">
        <f t="shared" ref="F42:F44" si="2">D42*E42</f>
        <v>0</v>
      </c>
      <c r="G42" s="9"/>
    </row>
    <row r="43" spans="1:7">
      <c r="A43" s="133"/>
      <c r="B43" s="207" t="s">
        <v>136</v>
      </c>
      <c r="C43" s="201" t="s">
        <v>6</v>
      </c>
      <c r="D43" s="22">
        <v>8</v>
      </c>
      <c r="E43" s="519"/>
      <c r="F43" s="43">
        <f t="shared" si="2"/>
        <v>0</v>
      </c>
      <c r="G43" s="9"/>
    </row>
    <row r="44" spans="1:7">
      <c r="A44" s="89"/>
      <c r="B44" s="177" t="s">
        <v>137</v>
      </c>
      <c r="C44" s="21" t="s">
        <v>6</v>
      </c>
      <c r="D44" s="22">
        <v>1</v>
      </c>
      <c r="E44" s="519"/>
      <c r="F44" s="43">
        <f t="shared" si="2"/>
        <v>0</v>
      </c>
      <c r="G44" s="9"/>
    </row>
    <row r="45" spans="1:7" ht="191.25">
      <c r="A45" s="129" t="s">
        <v>55</v>
      </c>
      <c r="B45" s="208" t="s">
        <v>100</v>
      </c>
      <c r="C45" s="196"/>
      <c r="D45" s="197"/>
      <c r="E45" s="209"/>
      <c r="F45" s="130"/>
      <c r="G45" s="9"/>
    </row>
    <row r="46" spans="1:7">
      <c r="A46" s="133"/>
      <c r="B46" s="207" t="s">
        <v>30</v>
      </c>
      <c r="C46" s="201" t="s">
        <v>6</v>
      </c>
      <c r="D46" s="202">
        <v>4</v>
      </c>
      <c r="E46" s="520"/>
      <c r="F46" s="134">
        <f t="shared" ref="F46:F52" si="3">D46*E46</f>
        <v>0</v>
      </c>
      <c r="G46" s="9"/>
    </row>
    <row r="47" spans="1:7" ht="51">
      <c r="A47" s="89" t="s">
        <v>56</v>
      </c>
      <c r="B47" s="42" t="s">
        <v>109</v>
      </c>
      <c r="C47" s="21" t="s">
        <v>6</v>
      </c>
      <c r="D47" s="22">
        <v>1</v>
      </c>
      <c r="E47" s="512"/>
      <c r="F47" s="43">
        <f t="shared" si="3"/>
        <v>0</v>
      </c>
      <c r="G47" s="9"/>
    </row>
    <row r="48" spans="1:7" ht="102">
      <c r="A48" s="89" t="s">
        <v>57</v>
      </c>
      <c r="B48" s="176" t="s">
        <v>89</v>
      </c>
      <c r="C48" s="21" t="s">
        <v>6</v>
      </c>
      <c r="D48" s="22">
        <v>2</v>
      </c>
      <c r="E48" s="518"/>
      <c r="F48" s="43">
        <f t="shared" si="3"/>
        <v>0</v>
      </c>
      <c r="G48" s="9"/>
    </row>
    <row r="49" spans="1:7" ht="51">
      <c r="A49" s="89" t="s">
        <v>58</v>
      </c>
      <c r="B49" s="20" t="s">
        <v>90</v>
      </c>
      <c r="C49" s="21" t="s">
        <v>6</v>
      </c>
      <c r="D49" s="22">
        <v>2</v>
      </c>
      <c r="E49" s="518"/>
      <c r="F49" s="43">
        <f t="shared" si="3"/>
        <v>0</v>
      </c>
      <c r="G49" s="9"/>
    </row>
    <row r="50" spans="1:7" ht="38.25">
      <c r="A50" s="89" t="s">
        <v>59</v>
      </c>
      <c r="B50" s="142" t="s">
        <v>91</v>
      </c>
      <c r="C50" s="21" t="s">
        <v>6</v>
      </c>
      <c r="D50" s="143">
        <v>2</v>
      </c>
      <c r="E50" s="513"/>
      <c r="F50" s="43">
        <f t="shared" si="3"/>
        <v>0</v>
      </c>
    </row>
    <row r="51" spans="1:7" ht="89.25">
      <c r="A51" s="89" t="s">
        <v>60</v>
      </c>
      <c r="B51" s="176" t="s">
        <v>81</v>
      </c>
      <c r="C51" s="21" t="s">
        <v>9</v>
      </c>
      <c r="D51" s="22">
        <f>2*8</f>
        <v>16</v>
      </c>
      <c r="E51" s="518"/>
      <c r="F51" s="43">
        <f t="shared" si="3"/>
        <v>0</v>
      </c>
    </row>
    <row r="52" spans="1:7" ht="15" thickBot="1">
      <c r="A52" s="131"/>
      <c r="B52" s="210" t="s">
        <v>115</v>
      </c>
      <c r="C52" s="38" t="s">
        <v>6</v>
      </c>
      <c r="D52" s="39">
        <v>2</v>
      </c>
      <c r="E52" s="522"/>
      <c r="F52" s="132">
        <f t="shared" si="3"/>
        <v>0</v>
      </c>
    </row>
    <row r="53" spans="1:7" ht="15" thickBot="1">
      <c r="A53" s="122" t="s">
        <v>38</v>
      </c>
      <c r="B53" s="124" t="s">
        <v>26</v>
      </c>
      <c r="C53" s="50"/>
      <c r="D53" s="51"/>
      <c r="E53" s="76"/>
      <c r="F53" s="123">
        <f>SUM(F42:F52)</f>
        <v>0</v>
      </c>
    </row>
    <row r="54" spans="1:7" ht="15" thickBot="1">
      <c r="A54" s="86"/>
      <c r="B54" s="31"/>
      <c r="C54" s="32"/>
      <c r="D54" s="33"/>
      <c r="E54" s="66"/>
      <c r="F54" s="66"/>
    </row>
    <row r="55" spans="1:7" ht="15" thickBot="1">
      <c r="A55" s="87"/>
      <c r="B55" s="52" t="s">
        <v>39</v>
      </c>
      <c r="C55" s="53"/>
      <c r="D55" s="54"/>
      <c r="E55" s="77"/>
      <c r="F55" s="78"/>
    </row>
    <row r="56" spans="1:7" ht="63.75">
      <c r="A56" s="84"/>
      <c r="B56" s="37" t="s">
        <v>8</v>
      </c>
      <c r="C56" s="38"/>
      <c r="D56" s="39"/>
      <c r="E56" s="70"/>
      <c r="F56" s="71"/>
    </row>
    <row r="57" spans="1:7" ht="25.5">
      <c r="A57" s="85" t="s">
        <v>54</v>
      </c>
      <c r="B57" s="55" t="s">
        <v>42</v>
      </c>
      <c r="C57" s="26" t="s">
        <v>9</v>
      </c>
      <c r="D57" s="81">
        <v>125</v>
      </c>
      <c r="E57" s="524"/>
      <c r="F57" s="23">
        <f t="shared" ref="F57:F64" si="4">D57*E57</f>
        <v>0</v>
      </c>
    </row>
    <row r="58" spans="1:7" ht="25.5">
      <c r="A58" s="85" t="s">
        <v>55</v>
      </c>
      <c r="B58" s="55" t="s">
        <v>104</v>
      </c>
      <c r="C58" s="26" t="s">
        <v>9</v>
      </c>
      <c r="D58" s="81">
        <v>125</v>
      </c>
      <c r="E58" s="524"/>
      <c r="F58" s="23">
        <f>D58*E58</f>
        <v>0</v>
      </c>
    </row>
    <row r="59" spans="1:7">
      <c r="A59" s="85" t="s">
        <v>56</v>
      </c>
      <c r="B59" s="55" t="s">
        <v>105</v>
      </c>
      <c r="C59" s="26" t="s">
        <v>9</v>
      </c>
      <c r="D59" s="81">
        <v>125</v>
      </c>
      <c r="E59" s="524"/>
      <c r="F59" s="23">
        <f>D59*E59</f>
        <v>0</v>
      </c>
    </row>
    <row r="60" spans="1:7" ht="25.5">
      <c r="A60" s="85" t="s">
        <v>57</v>
      </c>
      <c r="B60" s="212" t="s">
        <v>189</v>
      </c>
      <c r="C60" s="21" t="s">
        <v>48</v>
      </c>
      <c r="D60" s="22">
        <v>321</v>
      </c>
      <c r="E60" s="526"/>
      <c r="F60" s="213">
        <f>D60*E60</f>
        <v>0</v>
      </c>
    </row>
    <row r="61" spans="1:7" ht="25.5">
      <c r="A61" s="89" t="s">
        <v>58</v>
      </c>
      <c r="B61" s="214" t="s">
        <v>190</v>
      </c>
      <c r="C61" s="21" t="s">
        <v>48</v>
      </c>
      <c r="D61" s="22">
        <v>321</v>
      </c>
      <c r="E61" s="526"/>
      <c r="F61" s="213">
        <f t="shared" ref="F61" si="5">D61*E61</f>
        <v>0</v>
      </c>
    </row>
    <row r="62" spans="1:7" ht="51">
      <c r="A62" s="85" t="s">
        <v>59</v>
      </c>
      <c r="B62" s="175" t="s">
        <v>93</v>
      </c>
      <c r="C62" s="21" t="s">
        <v>9</v>
      </c>
      <c r="D62" s="138">
        <v>3</v>
      </c>
      <c r="E62" s="513"/>
      <c r="F62" s="23">
        <f t="shared" ref="F62" si="6">D62*E62</f>
        <v>0</v>
      </c>
    </row>
    <row r="63" spans="1:7" ht="25.5">
      <c r="A63" s="85" t="s">
        <v>60</v>
      </c>
      <c r="B63" s="24" t="s">
        <v>94</v>
      </c>
      <c r="C63" s="21" t="s">
        <v>47</v>
      </c>
      <c r="D63" s="22">
        <v>3</v>
      </c>
      <c r="E63" s="512"/>
      <c r="F63" s="23">
        <f t="shared" si="4"/>
        <v>0</v>
      </c>
    </row>
    <row r="64" spans="1:7" ht="51">
      <c r="A64" s="85" t="s">
        <v>61</v>
      </c>
      <c r="B64" s="24" t="s">
        <v>21</v>
      </c>
      <c r="C64" s="21" t="s">
        <v>6</v>
      </c>
      <c r="D64" s="22">
        <v>2</v>
      </c>
      <c r="E64" s="512"/>
      <c r="F64" s="23">
        <f t="shared" si="4"/>
        <v>0</v>
      </c>
    </row>
    <row r="65" spans="1:7" s="150" customFormat="1" ht="51">
      <c r="A65" s="85" t="s">
        <v>62</v>
      </c>
      <c r="B65" s="24" t="s">
        <v>96</v>
      </c>
      <c r="C65" s="21" t="s">
        <v>6</v>
      </c>
      <c r="D65" s="22">
        <v>2</v>
      </c>
      <c r="E65" s="512"/>
      <c r="F65" s="23">
        <f>D65*E65</f>
        <v>0</v>
      </c>
      <c r="G65" s="58"/>
    </row>
    <row r="66" spans="1:7" s="150" customFormat="1" ht="51.75" thickBot="1">
      <c r="A66" s="85" t="s">
        <v>63</v>
      </c>
      <c r="B66" s="175" t="s">
        <v>195</v>
      </c>
      <c r="C66" s="21" t="s">
        <v>6</v>
      </c>
      <c r="D66" s="22">
        <v>1</v>
      </c>
      <c r="E66" s="512"/>
      <c r="F66" s="23">
        <f>D66*E66</f>
        <v>0</v>
      </c>
      <c r="G66" s="58"/>
    </row>
    <row r="67" spans="1:7" ht="15" thickBot="1">
      <c r="A67" s="119" t="s">
        <v>40</v>
      </c>
      <c r="B67" s="120" t="s">
        <v>10</v>
      </c>
      <c r="C67" s="56"/>
      <c r="D67" s="57"/>
      <c r="E67" s="79"/>
      <c r="F67" s="121">
        <f>SUM(F57:F66)</f>
        <v>0</v>
      </c>
      <c r="G67" s="9"/>
    </row>
    <row r="68" spans="1:7" ht="15" thickBot="1">
      <c r="G68" s="9"/>
    </row>
    <row r="69" spans="1:7" ht="15" thickBot="1">
      <c r="A69" s="169"/>
      <c r="B69" s="170" t="s">
        <v>193</v>
      </c>
      <c r="C69" s="171"/>
      <c r="D69" s="172"/>
      <c r="E69" s="173"/>
      <c r="F69" s="174">
        <f>F11+F38+F53+F67</f>
        <v>0</v>
      </c>
      <c r="G69" s="9"/>
    </row>
    <row r="71" spans="1:7">
      <c r="G71" s="9"/>
    </row>
  </sheetData>
  <sheetProtection algorithmName="SHA-512" hashValue="GkI+XYPDwfBEW3SKKRXm2LMWJIIH2OpvpJU9tNH351Ju2yfovB4+9eGuxHSOVmTRTNaRx3a6+RPk+M/8wlJOkQ==" saltValue="yijRpZqaAM++8ZqESBkSV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3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G81"/>
  <sheetViews>
    <sheetView view="pageBreakPreview" topLeftCell="A69" zoomScaleNormal="100" zoomScaleSheetLayoutView="100" workbookViewId="0">
      <selection activeCell="G71" sqref="G71:K88"/>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398</v>
      </c>
      <c r="B1" s="178" t="s">
        <v>182</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160</v>
      </c>
      <c r="E5" s="512"/>
      <c r="F5" s="23">
        <f t="shared" ref="F5:F11" si="0">D5*E5</f>
        <v>0</v>
      </c>
    </row>
    <row r="6" spans="1:6" ht="25.5">
      <c r="A6" s="85" t="s">
        <v>55</v>
      </c>
      <c r="B6" s="24" t="s">
        <v>28</v>
      </c>
      <c r="C6" s="21" t="s">
        <v>6</v>
      </c>
      <c r="D6" s="22">
        <f>1+6+3</f>
        <v>10</v>
      </c>
      <c r="E6" s="512"/>
      <c r="F6" s="23">
        <f t="shared" si="0"/>
        <v>0</v>
      </c>
    </row>
    <row r="7" spans="1:6" ht="38.25">
      <c r="A7" s="85" t="s">
        <v>56</v>
      </c>
      <c r="B7" s="25" t="s">
        <v>120</v>
      </c>
      <c r="C7" s="21" t="s">
        <v>9</v>
      </c>
      <c r="D7" s="22">
        <v>63</v>
      </c>
      <c r="E7" s="512"/>
      <c r="F7" s="23">
        <f t="shared" si="0"/>
        <v>0</v>
      </c>
    </row>
    <row r="8" spans="1:6" ht="38.25">
      <c r="A8" s="85" t="s">
        <v>57</v>
      </c>
      <c r="B8" s="211" t="s">
        <v>121</v>
      </c>
      <c r="C8" s="21" t="s">
        <v>9</v>
      </c>
      <c r="D8" s="22">
        <v>80</v>
      </c>
      <c r="E8" s="512"/>
      <c r="F8" s="23">
        <f t="shared" si="0"/>
        <v>0</v>
      </c>
    </row>
    <row r="9" spans="1:6" ht="38.25">
      <c r="A9" s="84" t="s">
        <v>58</v>
      </c>
      <c r="B9" s="176" t="s">
        <v>53</v>
      </c>
      <c r="C9" s="26" t="s">
        <v>48</v>
      </c>
      <c r="D9" s="22">
        <v>170</v>
      </c>
      <c r="E9" s="512"/>
      <c r="F9" s="23">
        <f t="shared" si="0"/>
        <v>0</v>
      </c>
    </row>
    <row r="10" spans="1:6" ht="38.25">
      <c r="A10" s="84" t="s">
        <v>59</v>
      </c>
      <c r="B10" s="176" t="s">
        <v>122</v>
      </c>
      <c r="C10" s="26" t="s">
        <v>48</v>
      </c>
      <c r="D10" s="22">
        <v>163</v>
      </c>
      <c r="E10" s="512"/>
      <c r="F10" s="23">
        <f t="shared" si="0"/>
        <v>0</v>
      </c>
    </row>
    <row r="11" spans="1:6" ht="39" thickBot="1">
      <c r="A11" s="84" t="s">
        <v>60</v>
      </c>
      <c r="B11" s="20" t="s">
        <v>83</v>
      </c>
      <c r="C11" s="21" t="s">
        <v>47</v>
      </c>
      <c r="D11" s="22">
        <v>6</v>
      </c>
      <c r="E11" s="512"/>
      <c r="F11" s="23">
        <f t="shared" si="0"/>
        <v>0</v>
      </c>
    </row>
    <row r="12" spans="1:6" ht="15" thickBot="1">
      <c r="A12" s="116" t="s">
        <v>34</v>
      </c>
      <c r="B12" s="28" t="s">
        <v>12</v>
      </c>
      <c r="C12" s="29"/>
      <c r="D12" s="30"/>
      <c r="E12" s="65"/>
      <c r="F12" s="117">
        <f>SUM(F5:F11)</f>
        <v>0</v>
      </c>
    </row>
    <row r="13" spans="1:6" ht="15" thickBot="1">
      <c r="A13" s="86"/>
      <c r="B13" s="31"/>
      <c r="C13" s="32"/>
      <c r="D13" s="33"/>
      <c r="E13" s="66"/>
      <c r="F13" s="67"/>
    </row>
    <row r="14" spans="1:6" ht="15" thickBot="1">
      <c r="A14" s="87"/>
      <c r="B14" s="34" t="s">
        <v>35</v>
      </c>
      <c r="C14" s="35"/>
      <c r="D14" s="36"/>
      <c r="E14" s="68"/>
      <c r="F14" s="69"/>
    </row>
    <row r="15" spans="1:6" ht="51">
      <c r="A15" s="88"/>
      <c r="B15" s="37" t="s">
        <v>52</v>
      </c>
      <c r="C15" s="38"/>
      <c r="D15" s="39"/>
      <c r="E15" s="70"/>
      <c r="F15" s="71"/>
    </row>
    <row r="16" spans="1:6" ht="38.25">
      <c r="A16" s="84"/>
      <c r="B16" s="40" t="s">
        <v>25</v>
      </c>
      <c r="C16" s="21"/>
      <c r="D16" s="22"/>
      <c r="E16" s="27"/>
      <c r="F16" s="23"/>
    </row>
    <row r="17" spans="1:6" ht="38.25">
      <c r="A17" s="85" t="s">
        <v>54</v>
      </c>
      <c r="B17" s="20" t="s">
        <v>128</v>
      </c>
      <c r="C17" s="21" t="s">
        <v>47</v>
      </c>
      <c r="D17" s="22">
        <f>16.18*2.5*0.2</f>
        <v>8.0900000000000016</v>
      </c>
      <c r="E17" s="512"/>
      <c r="F17" s="23">
        <f>D17*E17</f>
        <v>0</v>
      </c>
    </row>
    <row r="18" spans="1:6" ht="25.5">
      <c r="A18" s="85" t="s">
        <v>55</v>
      </c>
      <c r="B18" s="135" t="s">
        <v>102</v>
      </c>
      <c r="C18" s="21" t="s">
        <v>47</v>
      </c>
      <c r="D18" s="22">
        <f>(229.5+211.25+20)*0.3</f>
        <v>138.22499999999999</v>
      </c>
      <c r="E18" s="512"/>
      <c r="F18" s="23">
        <f>D18*E18</f>
        <v>0</v>
      </c>
    </row>
    <row r="19" spans="1:6">
      <c r="A19" s="85" t="s">
        <v>56</v>
      </c>
      <c r="B19" s="20" t="s">
        <v>43</v>
      </c>
      <c r="C19" s="21" t="s">
        <v>47</v>
      </c>
      <c r="D19" s="22">
        <v>8</v>
      </c>
      <c r="E19" s="512"/>
      <c r="F19" s="23">
        <f>D19*E19</f>
        <v>0</v>
      </c>
    </row>
    <row r="20" spans="1:6" ht="38.25">
      <c r="A20" s="128" t="s">
        <v>57</v>
      </c>
      <c r="B20" s="145" t="s">
        <v>78</v>
      </c>
      <c r="C20" s="196"/>
      <c r="D20" s="197"/>
      <c r="E20" s="146"/>
      <c r="F20" s="147"/>
    </row>
    <row r="21" spans="1:6">
      <c r="A21" s="84"/>
      <c r="B21" s="198" t="s">
        <v>77</v>
      </c>
      <c r="C21" s="38" t="s">
        <v>47</v>
      </c>
      <c r="D21" s="39">
        <f>366*0.9</f>
        <v>329.40000000000003</v>
      </c>
      <c r="E21" s="515"/>
      <c r="F21" s="148">
        <f>D21*E21</f>
        <v>0</v>
      </c>
    </row>
    <row r="22" spans="1:6">
      <c r="A22" s="199"/>
      <c r="B22" s="200" t="s">
        <v>76</v>
      </c>
      <c r="C22" s="201" t="s">
        <v>47</v>
      </c>
      <c r="D22" s="202">
        <v>2</v>
      </c>
      <c r="E22" s="516"/>
      <c r="F22" s="149">
        <f>D22*E22</f>
        <v>0</v>
      </c>
    </row>
    <row r="23" spans="1:6" ht="38.25">
      <c r="A23" s="128" t="s">
        <v>58</v>
      </c>
      <c r="B23" s="145" t="s">
        <v>108</v>
      </c>
      <c r="C23" s="196"/>
      <c r="D23" s="197"/>
      <c r="E23" s="146"/>
      <c r="F23" s="147"/>
    </row>
    <row r="24" spans="1:6">
      <c r="A24" s="199"/>
      <c r="B24" s="200" t="s">
        <v>77</v>
      </c>
      <c r="C24" s="201" t="s">
        <v>47</v>
      </c>
      <c r="D24" s="202">
        <f>((229.5+211.25)-(130*1.2))*0.325</f>
        <v>92.543750000000003</v>
      </c>
      <c r="E24" s="516"/>
      <c r="F24" s="149">
        <f>D24*E24</f>
        <v>0</v>
      </c>
    </row>
    <row r="25" spans="1:6" ht="38.25">
      <c r="A25" s="85" t="s">
        <v>59</v>
      </c>
      <c r="B25" s="145" t="s">
        <v>79</v>
      </c>
      <c r="C25" s="21" t="s">
        <v>47</v>
      </c>
      <c r="D25" s="202">
        <f>366*0.1</f>
        <v>36.6</v>
      </c>
      <c r="E25" s="517"/>
      <c r="F25" s="41">
        <f>D25*E25</f>
        <v>0</v>
      </c>
    </row>
    <row r="26" spans="1:6" ht="38.25">
      <c r="A26" s="85" t="s">
        <v>60</v>
      </c>
      <c r="B26" s="176" t="s">
        <v>29</v>
      </c>
      <c r="C26" s="21" t="s">
        <v>48</v>
      </c>
      <c r="D26" s="22">
        <f>160*2*1.75</f>
        <v>560</v>
      </c>
      <c r="E26" s="518"/>
      <c r="F26" s="41">
        <f t="shared" ref="F26:F45" si="1">D26*E26</f>
        <v>0</v>
      </c>
    </row>
    <row r="27" spans="1:6" ht="63.75">
      <c r="A27" s="85" t="s">
        <v>61</v>
      </c>
      <c r="B27" s="20" t="s">
        <v>73</v>
      </c>
      <c r="C27" s="21" t="s">
        <v>6</v>
      </c>
      <c r="D27" s="22">
        <v>23</v>
      </c>
      <c r="E27" s="518"/>
      <c r="F27" s="41">
        <f t="shared" si="1"/>
        <v>0</v>
      </c>
    </row>
    <row r="28" spans="1:6" ht="25.5">
      <c r="A28" s="85" t="s">
        <v>62</v>
      </c>
      <c r="B28" s="176" t="s">
        <v>44</v>
      </c>
      <c r="C28" s="26" t="s">
        <v>48</v>
      </c>
      <c r="D28" s="22">
        <f>160*0.9</f>
        <v>144</v>
      </c>
      <c r="E28" s="512"/>
      <c r="F28" s="41">
        <f t="shared" si="1"/>
        <v>0</v>
      </c>
    </row>
    <row r="29" spans="1:6" ht="51">
      <c r="A29" s="85" t="s">
        <v>63</v>
      </c>
      <c r="B29" s="135" t="s">
        <v>85</v>
      </c>
      <c r="C29" s="21" t="s">
        <v>47</v>
      </c>
      <c r="D29" s="22">
        <f>27.46*1.1</f>
        <v>30.206000000000003</v>
      </c>
      <c r="E29" s="512"/>
      <c r="F29" s="41">
        <f t="shared" si="1"/>
        <v>0</v>
      </c>
    </row>
    <row r="30" spans="1:6" ht="51">
      <c r="A30" s="85" t="s">
        <v>64</v>
      </c>
      <c r="B30" s="135" t="s">
        <v>86</v>
      </c>
      <c r="C30" s="21" t="s">
        <v>47</v>
      </c>
      <c r="D30" s="22">
        <f>54.73*1.1</f>
        <v>60.203000000000003</v>
      </c>
      <c r="E30" s="512"/>
      <c r="F30" s="41">
        <f t="shared" si="1"/>
        <v>0</v>
      </c>
    </row>
    <row r="31" spans="1:6" ht="76.5">
      <c r="A31" s="85" t="s">
        <v>65</v>
      </c>
      <c r="B31" s="20" t="s">
        <v>22</v>
      </c>
      <c r="C31" s="21" t="s">
        <v>47</v>
      </c>
      <c r="D31" s="22">
        <v>261.08</v>
      </c>
      <c r="E31" s="512"/>
      <c r="F31" s="41">
        <f t="shared" si="1"/>
        <v>0</v>
      </c>
    </row>
    <row r="32" spans="1:6" ht="38.25">
      <c r="A32" s="85" t="s">
        <v>66</v>
      </c>
      <c r="B32" s="140" t="s">
        <v>87</v>
      </c>
      <c r="C32" s="21" t="s">
        <v>47</v>
      </c>
      <c r="D32" s="22">
        <f>229.5*0.3*1.1</f>
        <v>75.734999999999999</v>
      </c>
      <c r="E32" s="512"/>
      <c r="F32" s="41">
        <f t="shared" si="1"/>
        <v>0</v>
      </c>
    </row>
    <row r="33" spans="1:7" ht="38.25">
      <c r="A33" s="85" t="s">
        <v>171</v>
      </c>
      <c r="B33" s="140" t="s">
        <v>170</v>
      </c>
      <c r="C33" s="21" t="s">
        <v>47</v>
      </c>
      <c r="D33" s="22">
        <f>211.25*0.5*1.1</f>
        <v>116.18750000000001</v>
      </c>
      <c r="E33" s="512"/>
      <c r="F33" s="41">
        <f t="shared" si="1"/>
        <v>0</v>
      </c>
    </row>
    <row r="34" spans="1:7" ht="38.25">
      <c r="A34" s="85" t="s">
        <v>67</v>
      </c>
      <c r="B34" s="140" t="s">
        <v>175</v>
      </c>
      <c r="C34" s="21" t="s">
        <v>47</v>
      </c>
      <c r="D34" s="22">
        <f>211.25*0.25*1.1</f>
        <v>58.093750000000007</v>
      </c>
      <c r="E34" s="512"/>
      <c r="F34" s="41">
        <f t="shared" si="1"/>
        <v>0</v>
      </c>
    </row>
    <row r="35" spans="1:7" ht="38.25">
      <c r="A35" s="85" t="s">
        <v>174</v>
      </c>
      <c r="B35" s="140" t="s">
        <v>101</v>
      </c>
      <c r="C35" s="21" t="s">
        <v>47</v>
      </c>
      <c r="D35" s="22">
        <f>229.5*0.25*1.1</f>
        <v>63.112500000000004</v>
      </c>
      <c r="E35" s="512"/>
      <c r="F35" s="41">
        <f t="shared" si="1"/>
        <v>0</v>
      </c>
    </row>
    <row r="36" spans="1:7" ht="38.25">
      <c r="A36" s="85" t="s">
        <v>68</v>
      </c>
      <c r="B36" s="140" t="s">
        <v>133</v>
      </c>
      <c r="C36" s="21" t="s">
        <v>47</v>
      </c>
      <c r="D36" s="22">
        <f>20*0.3*1.1</f>
        <v>6.6000000000000005</v>
      </c>
      <c r="E36" s="512"/>
      <c r="F36" s="41">
        <f t="shared" si="1"/>
        <v>0</v>
      </c>
    </row>
    <row r="37" spans="1:7">
      <c r="A37" s="85" t="s">
        <v>69</v>
      </c>
      <c r="B37" s="42" t="s">
        <v>154</v>
      </c>
      <c r="C37" s="21" t="s">
        <v>9</v>
      </c>
      <c r="D37" s="22">
        <v>50</v>
      </c>
      <c r="E37" s="512"/>
      <c r="F37" s="41">
        <f t="shared" si="1"/>
        <v>0</v>
      </c>
    </row>
    <row r="38" spans="1:7">
      <c r="A38" s="85" t="s">
        <v>70</v>
      </c>
      <c r="B38" s="42" t="s">
        <v>184</v>
      </c>
      <c r="C38" s="21" t="s">
        <v>9</v>
      </c>
      <c r="D38" s="22">
        <v>65</v>
      </c>
      <c r="E38" s="512"/>
      <c r="F38" s="41">
        <f t="shared" ref="F38" si="2">D38*E38</f>
        <v>0</v>
      </c>
    </row>
    <row r="39" spans="1:7" ht="25.5">
      <c r="A39" s="85" t="s">
        <v>71</v>
      </c>
      <c r="B39" s="42" t="s">
        <v>45</v>
      </c>
      <c r="C39" s="21" t="s">
        <v>9</v>
      </c>
      <c r="D39" s="22">
        <v>160</v>
      </c>
      <c r="E39" s="512"/>
      <c r="F39" s="41">
        <f t="shared" si="1"/>
        <v>0</v>
      </c>
    </row>
    <row r="40" spans="1:7" ht="38.25">
      <c r="A40" s="85" t="s">
        <v>80</v>
      </c>
      <c r="B40" s="42" t="s">
        <v>187</v>
      </c>
      <c r="C40" s="21" t="s">
        <v>47</v>
      </c>
      <c r="D40" s="22">
        <f>((D9*0.1)+(D10*0.15)+D18+D19+D21+D22+D24-D31)</f>
        <v>350.53875000000011</v>
      </c>
      <c r="E40" s="512"/>
      <c r="F40" s="41">
        <f t="shared" si="1"/>
        <v>0</v>
      </c>
    </row>
    <row r="41" spans="1:7" ht="25.5">
      <c r="A41" s="85" t="s">
        <v>103</v>
      </c>
      <c r="B41" s="20" t="s">
        <v>23</v>
      </c>
      <c r="C41" s="26" t="s">
        <v>48</v>
      </c>
      <c r="D41" s="22">
        <f>229.5+211.25</f>
        <v>440.75</v>
      </c>
      <c r="E41" s="512"/>
      <c r="F41" s="41">
        <f t="shared" si="1"/>
        <v>0</v>
      </c>
    </row>
    <row r="42" spans="1:7">
      <c r="A42" s="85" t="s">
        <v>113</v>
      </c>
      <c r="B42" s="20" t="s">
        <v>134</v>
      </c>
      <c r="C42" s="26" t="s">
        <v>48</v>
      </c>
      <c r="D42" s="22">
        <v>20</v>
      </c>
      <c r="E42" s="512"/>
      <c r="F42" s="41">
        <f t="shared" si="1"/>
        <v>0</v>
      </c>
    </row>
    <row r="43" spans="1:7" s="191" customFormat="1">
      <c r="A43" s="85" t="s">
        <v>123</v>
      </c>
      <c r="B43" s="176" t="s">
        <v>117</v>
      </c>
      <c r="C43" s="26" t="s">
        <v>48</v>
      </c>
      <c r="D43" s="22">
        <f>(D41+D42)*1.1</f>
        <v>506.82500000000005</v>
      </c>
      <c r="E43" s="512"/>
      <c r="F43" s="41">
        <f t="shared" si="1"/>
        <v>0</v>
      </c>
      <c r="G43" s="12"/>
    </row>
    <row r="44" spans="1:7" ht="38.25">
      <c r="A44" s="85" t="s">
        <v>185</v>
      </c>
      <c r="B44" s="42" t="s">
        <v>218</v>
      </c>
      <c r="C44" s="21" t="s">
        <v>47</v>
      </c>
      <c r="D44" s="22">
        <f>D17</f>
        <v>8.0900000000000016</v>
      </c>
      <c r="E44" s="512"/>
      <c r="F44" s="41">
        <f t="shared" si="1"/>
        <v>0</v>
      </c>
    </row>
    <row r="45" spans="1:7" ht="26.25" thickBot="1">
      <c r="A45" s="85" t="s">
        <v>186</v>
      </c>
      <c r="B45" s="177" t="s">
        <v>74</v>
      </c>
      <c r="C45" s="21" t="s">
        <v>48</v>
      </c>
      <c r="D45" s="22">
        <f>D44/0.2</f>
        <v>40.450000000000003</v>
      </c>
      <c r="E45" s="512"/>
      <c r="F45" s="41">
        <f t="shared" si="1"/>
        <v>0</v>
      </c>
    </row>
    <row r="46" spans="1:7" ht="15" thickBot="1">
      <c r="A46" s="125" t="s">
        <v>36</v>
      </c>
      <c r="B46" s="126" t="s">
        <v>11</v>
      </c>
      <c r="C46" s="44"/>
      <c r="D46" s="45"/>
      <c r="E46" s="72"/>
      <c r="F46" s="127">
        <f>SUM(F17:F45)</f>
        <v>0</v>
      </c>
      <c r="G46" s="9"/>
    </row>
    <row r="47" spans="1:7" ht="15" thickBot="1">
      <c r="A47" s="86"/>
      <c r="B47" s="203"/>
      <c r="C47" s="204"/>
      <c r="D47" s="205"/>
      <c r="E47" s="73"/>
      <c r="F47" s="66"/>
      <c r="G47" s="9"/>
    </row>
    <row r="48" spans="1:7" ht="15" thickBot="1">
      <c r="A48" s="90"/>
      <c r="B48" s="46" t="s">
        <v>37</v>
      </c>
      <c r="C48" s="47"/>
      <c r="D48" s="48"/>
      <c r="E48" s="74"/>
      <c r="F48" s="75"/>
      <c r="G48" s="9"/>
    </row>
    <row r="49" spans="1:7" ht="63.75">
      <c r="A49" s="88"/>
      <c r="B49" s="49" t="s">
        <v>24</v>
      </c>
      <c r="C49" s="17"/>
      <c r="D49" s="18"/>
      <c r="E49" s="64"/>
      <c r="F49" s="19"/>
      <c r="G49" s="9"/>
    </row>
    <row r="50" spans="1:7" ht="76.5">
      <c r="A50" s="89">
        <v>1</v>
      </c>
      <c r="B50" s="42" t="s">
        <v>98</v>
      </c>
      <c r="C50" s="21" t="s">
        <v>9</v>
      </c>
      <c r="D50" s="22">
        <v>165</v>
      </c>
      <c r="E50" s="519"/>
      <c r="F50" s="43">
        <f t="shared" ref="F50:F52" si="3">D50*E50</f>
        <v>0</v>
      </c>
      <c r="G50" s="9"/>
    </row>
    <row r="51" spans="1:7">
      <c r="A51" s="133"/>
      <c r="B51" s="207" t="s">
        <v>136</v>
      </c>
      <c r="C51" s="201" t="s">
        <v>6</v>
      </c>
      <c r="D51" s="22">
        <v>2</v>
      </c>
      <c r="E51" s="519"/>
      <c r="F51" s="43">
        <f t="shared" si="3"/>
        <v>0</v>
      </c>
      <c r="G51" s="9"/>
    </row>
    <row r="52" spans="1:7">
      <c r="A52" s="89"/>
      <c r="B52" s="177" t="s">
        <v>137</v>
      </c>
      <c r="C52" s="21" t="s">
        <v>6</v>
      </c>
      <c r="D52" s="22">
        <v>1</v>
      </c>
      <c r="E52" s="519"/>
      <c r="F52" s="43">
        <f t="shared" si="3"/>
        <v>0</v>
      </c>
      <c r="G52" s="9"/>
    </row>
    <row r="53" spans="1:7" ht="191.25">
      <c r="A53" s="129" t="s">
        <v>55</v>
      </c>
      <c r="B53" s="208" t="s">
        <v>100</v>
      </c>
      <c r="C53" s="196"/>
      <c r="D53" s="197"/>
      <c r="E53" s="209"/>
      <c r="F53" s="130"/>
      <c r="G53" s="9"/>
    </row>
    <row r="54" spans="1:7">
      <c r="A54" s="133"/>
      <c r="B54" s="207" t="s">
        <v>30</v>
      </c>
      <c r="C54" s="201" t="s">
        <v>6</v>
      </c>
      <c r="D54" s="202">
        <v>6</v>
      </c>
      <c r="E54" s="520"/>
      <c r="F54" s="134">
        <f t="shared" ref="F54:F60" si="4">D54*E54</f>
        <v>0</v>
      </c>
      <c r="G54" s="9"/>
    </row>
    <row r="55" spans="1:7" ht="51">
      <c r="A55" s="89" t="s">
        <v>56</v>
      </c>
      <c r="B55" s="42" t="s">
        <v>109</v>
      </c>
      <c r="C55" s="21" t="s">
        <v>6</v>
      </c>
      <c r="D55" s="22">
        <v>1</v>
      </c>
      <c r="E55" s="512"/>
      <c r="F55" s="43">
        <f t="shared" si="4"/>
        <v>0</v>
      </c>
      <c r="G55" s="9"/>
    </row>
    <row r="56" spans="1:7" ht="102">
      <c r="A56" s="89" t="s">
        <v>57</v>
      </c>
      <c r="B56" s="176" t="s">
        <v>89</v>
      </c>
      <c r="C56" s="21" t="s">
        <v>6</v>
      </c>
      <c r="D56" s="22">
        <v>4</v>
      </c>
      <c r="E56" s="518"/>
      <c r="F56" s="43">
        <f t="shared" si="4"/>
        <v>0</v>
      </c>
      <c r="G56" s="9"/>
    </row>
    <row r="57" spans="1:7" ht="51">
      <c r="A57" s="89" t="s">
        <v>58</v>
      </c>
      <c r="B57" s="20" t="s">
        <v>90</v>
      </c>
      <c r="C57" s="21" t="s">
        <v>6</v>
      </c>
      <c r="D57" s="22">
        <v>4</v>
      </c>
      <c r="E57" s="518"/>
      <c r="F57" s="43">
        <f t="shared" si="4"/>
        <v>0</v>
      </c>
      <c r="G57" s="9"/>
    </row>
    <row r="58" spans="1:7" ht="38.25">
      <c r="A58" s="89" t="s">
        <v>59</v>
      </c>
      <c r="B58" s="142" t="s">
        <v>91</v>
      </c>
      <c r="C58" s="21" t="s">
        <v>6</v>
      </c>
      <c r="D58" s="143">
        <v>4</v>
      </c>
      <c r="E58" s="513"/>
      <c r="F58" s="43">
        <f t="shared" si="4"/>
        <v>0</v>
      </c>
    </row>
    <row r="59" spans="1:7" ht="89.25">
      <c r="A59" s="89" t="s">
        <v>60</v>
      </c>
      <c r="B59" s="176" t="s">
        <v>81</v>
      </c>
      <c r="C59" s="21" t="s">
        <v>9</v>
      </c>
      <c r="D59" s="22">
        <f>4*8</f>
        <v>32</v>
      </c>
      <c r="E59" s="518"/>
      <c r="F59" s="43">
        <f t="shared" si="4"/>
        <v>0</v>
      </c>
    </row>
    <row r="60" spans="1:7" ht="15" thickBot="1">
      <c r="A60" s="131"/>
      <c r="B60" s="210" t="s">
        <v>115</v>
      </c>
      <c r="C60" s="38" t="s">
        <v>6</v>
      </c>
      <c r="D60" s="39">
        <v>4</v>
      </c>
      <c r="E60" s="522"/>
      <c r="F60" s="132">
        <f t="shared" si="4"/>
        <v>0</v>
      </c>
    </row>
    <row r="61" spans="1:7" ht="15" thickBot="1">
      <c r="A61" s="122" t="s">
        <v>38</v>
      </c>
      <c r="B61" s="124" t="s">
        <v>26</v>
      </c>
      <c r="C61" s="50"/>
      <c r="D61" s="51"/>
      <c r="E61" s="76"/>
      <c r="F61" s="123">
        <f>SUM(F50:F60)</f>
        <v>0</v>
      </c>
    </row>
    <row r="62" spans="1:7" ht="15" thickBot="1">
      <c r="A62" s="86"/>
      <c r="B62" s="31"/>
      <c r="C62" s="32"/>
      <c r="D62" s="33"/>
      <c r="E62" s="66"/>
      <c r="F62" s="66"/>
    </row>
    <row r="63" spans="1:7" ht="15" thickBot="1">
      <c r="A63" s="87"/>
      <c r="B63" s="52" t="s">
        <v>39</v>
      </c>
      <c r="C63" s="53"/>
      <c r="D63" s="54"/>
      <c r="E63" s="77"/>
      <c r="F63" s="78"/>
    </row>
    <row r="64" spans="1:7" ht="63.75">
      <c r="A64" s="84"/>
      <c r="B64" s="37" t="s">
        <v>8</v>
      </c>
      <c r="C64" s="38"/>
      <c r="D64" s="39"/>
      <c r="E64" s="70"/>
      <c r="F64" s="71"/>
    </row>
    <row r="65" spans="1:7" ht="25.5">
      <c r="A65" s="85" t="s">
        <v>54</v>
      </c>
      <c r="B65" s="55" t="s">
        <v>42</v>
      </c>
      <c r="C65" s="26" t="s">
        <v>9</v>
      </c>
      <c r="D65" s="81">
        <v>160</v>
      </c>
      <c r="E65" s="524"/>
      <c r="F65" s="23">
        <f t="shared" ref="F65:F74" si="5">D65*E65</f>
        <v>0</v>
      </c>
    </row>
    <row r="66" spans="1:7" ht="25.5">
      <c r="A66" s="85" t="s">
        <v>55</v>
      </c>
      <c r="B66" s="55" t="s">
        <v>104</v>
      </c>
      <c r="C66" s="26" t="s">
        <v>9</v>
      </c>
      <c r="D66" s="81">
        <f>D65</f>
        <v>160</v>
      </c>
      <c r="E66" s="524"/>
      <c r="F66" s="23">
        <f>D66*E66</f>
        <v>0</v>
      </c>
    </row>
    <row r="67" spans="1:7">
      <c r="A67" s="85" t="s">
        <v>56</v>
      </c>
      <c r="B67" s="55" t="s">
        <v>105</v>
      </c>
      <c r="C67" s="26" t="s">
        <v>9</v>
      </c>
      <c r="D67" s="81">
        <f>D65</f>
        <v>160</v>
      </c>
      <c r="E67" s="524"/>
      <c r="F67" s="23">
        <f>D67*E67</f>
        <v>0</v>
      </c>
    </row>
    <row r="68" spans="1:7" ht="25.5">
      <c r="A68" s="85" t="s">
        <v>57</v>
      </c>
      <c r="B68" s="184" t="s">
        <v>118</v>
      </c>
      <c r="C68" s="21" t="s">
        <v>48</v>
      </c>
      <c r="D68" s="22">
        <v>170</v>
      </c>
      <c r="E68" s="525"/>
      <c r="F68" s="23">
        <f>D68*E68</f>
        <v>0</v>
      </c>
    </row>
    <row r="69" spans="1:7" ht="25.5">
      <c r="A69" s="89" t="s">
        <v>58</v>
      </c>
      <c r="B69" s="141" t="s">
        <v>119</v>
      </c>
      <c r="C69" s="21" t="s">
        <v>48</v>
      </c>
      <c r="D69" s="22">
        <v>170</v>
      </c>
      <c r="E69" s="525"/>
      <c r="F69" s="23">
        <f t="shared" si="5"/>
        <v>0</v>
      </c>
    </row>
    <row r="70" spans="1:7">
      <c r="A70" s="89" t="s">
        <v>59</v>
      </c>
      <c r="B70" s="141" t="s">
        <v>188</v>
      </c>
      <c r="C70" s="21" t="s">
        <v>9</v>
      </c>
      <c r="D70" s="22">
        <v>25</v>
      </c>
      <c r="E70" s="525"/>
      <c r="F70" s="23">
        <f t="shared" ref="F70" si="6">D70*E70</f>
        <v>0</v>
      </c>
    </row>
    <row r="71" spans="1:7" ht="25.5">
      <c r="A71" s="85" t="s">
        <v>60</v>
      </c>
      <c r="B71" s="212" t="s">
        <v>189</v>
      </c>
      <c r="C71" s="21" t="s">
        <v>48</v>
      </c>
      <c r="D71" s="22">
        <v>162.5</v>
      </c>
      <c r="E71" s="526"/>
      <c r="F71" s="213">
        <f>D71*E71</f>
        <v>0</v>
      </c>
    </row>
    <row r="72" spans="1:7" ht="25.5">
      <c r="A72" s="89" t="s">
        <v>61</v>
      </c>
      <c r="B72" s="214" t="s">
        <v>190</v>
      </c>
      <c r="C72" s="21" t="s">
        <v>48</v>
      </c>
      <c r="D72" s="22">
        <f>D71</f>
        <v>162.5</v>
      </c>
      <c r="E72" s="526"/>
      <c r="F72" s="213">
        <f t="shared" ref="F72" si="7">D72*E72</f>
        <v>0</v>
      </c>
    </row>
    <row r="73" spans="1:7" ht="25.5">
      <c r="A73" s="85" t="s">
        <v>62</v>
      </c>
      <c r="B73" s="24" t="s">
        <v>94</v>
      </c>
      <c r="C73" s="21" t="s">
        <v>47</v>
      </c>
      <c r="D73" s="22">
        <v>6</v>
      </c>
      <c r="E73" s="512"/>
      <c r="F73" s="23">
        <f t="shared" si="5"/>
        <v>0</v>
      </c>
    </row>
    <row r="74" spans="1:7" ht="51">
      <c r="A74" s="85" t="s">
        <v>63</v>
      </c>
      <c r="B74" s="24" t="s">
        <v>21</v>
      </c>
      <c r="C74" s="21" t="s">
        <v>6</v>
      </c>
      <c r="D74" s="22">
        <v>10</v>
      </c>
      <c r="E74" s="512"/>
      <c r="F74" s="23">
        <f t="shared" si="5"/>
        <v>0</v>
      </c>
    </row>
    <row r="75" spans="1:7" s="150" customFormat="1" ht="51">
      <c r="A75" s="85" t="s">
        <v>64</v>
      </c>
      <c r="B75" s="24" t="s">
        <v>96</v>
      </c>
      <c r="C75" s="21" t="s">
        <v>6</v>
      </c>
      <c r="D75" s="22">
        <v>2</v>
      </c>
      <c r="E75" s="512"/>
      <c r="F75" s="23">
        <f>D75*E75</f>
        <v>0</v>
      </c>
      <c r="G75" s="58"/>
    </row>
    <row r="76" spans="1:7" s="150" customFormat="1" ht="39" thickBot="1">
      <c r="A76" s="85" t="s">
        <v>65</v>
      </c>
      <c r="B76" s="24" t="s">
        <v>191</v>
      </c>
      <c r="C76" s="21" t="s">
        <v>6</v>
      </c>
      <c r="D76" s="22">
        <v>2</v>
      </c>
      <c r="E76" s="512"/>
      <c r="F76" s="23">
        <f>D76*E76</f>
        <v>0</v>
      </c>
      <c r="G76" s="58"/>
    </row>
    <row r="77" spans="1:7" ht="15" thickBot="1">
      <c r="A77" s="119" t="s">
        <v>40</v>
      </c>
      <c r="B77" s="120" t="s">
        <v>10</v>
      </c>
      <c r="C77" s="56"/>
      <c r="D77" s="57"/>
      <c r="E77" s="79"/>
      <c r="F77" s="121">
        <f>SUM(F65:F76)</f>
        <v>0</v>
      </c>
      <c r="G77" s="9"/>
    </row>
    <row r="78" spans="1:7" ht="15" thickBot="1">
      <c r="G78" s="9"/>
    </row>
    <row r="79" spans="1:7" ht="15" thickBot="1">
      <c r="A79" s="169"/>
      <c r="B79" s="170" t="s">
        <v>183</v>
      </c>
      <c r="C79" s="171"/>
      <c r="D79" s="172"/>
      <c r="E79" s="173"/>
      <c r="F79" s="174">
        <f>F12+F46+F61+F77</f>
        <v>0</v>
      </c>
      <c r="G79" s="9"/>
    </row>
    <row r="81" spans="7:7">
      <c r="G81" s="9"/>
    </row>
  </sheetData>
  <sheetProtection algorithmName="SHA-512" hashValue="PAK/+buOoyXLPfP06RfMAr0ySkYC6tRJ3nHScV4UPvA5x/IX3s5M2wveR2W48WEsPSvhE93KStewrNcfKSTt7Q==" saltValue="Ok4yuIgmlNjLXKpgrZSrt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46"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G72"/>
  <sheetViews>
    <sheetView view="pageBreakPreview" topLeftCell="A56" zoomScaleNormal="100" zoomScaleSheetLayoutView="100" workbookViewId="0">
      <selection activeCell="E56" activeCellId="1" sqref="E45:E51 E56:E67"/>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399</v>
      </c>
      <c r="B1" s="178" t="s">
        <v>179</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185</v>
      </c>
      <c r="E5" s="512"/>
      <c r="F5" s="23">
        <f t="shared" ref="F5:F11" si="0">D5*E5</f>
        <v>0</v>
      </c>
    </row>
    <row r="6" spans="1:6" ht="25.5">
      <c r="A6" s="85" t="s">
        <v>55</v>
      </c>
      <c r="B6" s="24" t="s">
        <v>28</v>
      </c>
      <c r="C6" s="21" t="s">
        <v>6</v>
      </c>
      <c r="D6" s="22">
        <f>1+10+4</f>
        <v>15</v>
      </c>
      <c r="E6" s="512"/>
      <c r="F6" s="23">
        <f t="shared" si="0"/>
        <v>0</v>
      </c>
    </row>
    <row r="7" spans="1:6" ht="38.25">
      <c r="A7" s="85" t="s">
        <v>56</v>
      </c>
      <c r="B7" s="25" t="s">
        <v>120</v>
      </c>
      <c r="C7" s="21" t="s">
        <v>9</v>
      </c>
      <c r="D7" s="22">
        <v>372</v>
      </c>
      <c r="E7" s="512"/>
      <c r="F7" s="23">
        <f t="shared" si="0"/>
        <v>0</v>
      </c>
    </row>
    <row r="8" spans="1:6" ht="38.25">
      <c r="A8" s="84" t="s">
        <v>57</v>
      </c>
      <c r="B8" s="176" t="s">
        <v>53</v>
      </c>
      <c r="C8" s="26" t="s">
        <v>48</v>
      </c>
      <c r="D8" s="22">
        <v>370</v>
      </c>
      <c r="E8" s="512"/>
      <c r="F8" s="23">
        <f t="shared" si="0"/>
        <v>0</v>
      </c>
    </row>
    <row r="9" spans="1:6" ht="38.25">
      <c r="A9" s="84" t="s">
        <v>58</v>
      </c>
      <c r="B9" s="192" t="s">
        <v>75</v>
      </c>
      <c r="C9" s="137" t="s">
        <v>9</v>
      </c>
      <c r="D9" s="138">
        <v>10</v>
      </c>
      <c r="E9" s="527"/>
      <c r="F9" s="139">
        <f t="shared" si="0"/>
        <v>0</v>
      </c>
    </row>
    <row r="10" spans="1:6" ht="51">
      <c r="A10" s="136">
        <v>6</v>
      </c>
      <c r="B10" s="192" t="s">
        <v>84</v>
      </c>
      <c r="C10" s="26" t="s">
        <v>48</v>
      </c>
      <c r="D10" s="138">
        <v>6</v>
      </c>
      <c r="E10" s="527"/>
      <c r="F10" s="195">
        <f t="shared" si="0"/>
        <v>0</v>
      </c>
    </row>
    <row r="11" spans="1:6" ht="39" thickBot="1">
      <c r="A11" s="84" t="s">
        <v>60</v>
      </c>
      <c r="B11" s="20" t="s">
        <v>83</v>
      </c>
      <c r="C11" s="21" t="s">
        <v>47</v>
      </c>
      <c r="D11" s="22">
        <v>6</v>
      </c>
      <c r="E11" s="512"/>
      <c r="F11" s="23">
        <f t="shared" si="0"/>
        <v>0</v>
      </c>
    </row>
    <row r="12" spans="1:6" ht="15" thickBot="1">
      <c r="A12" s="116" t="s">
        <v>34</v>
      </c>
      <c r="B12" s="28" t="s">
        <v>12</v>
      </c>
      <c r="C12" s="29"/>
      <c r="D12" s="30"/>
      <c r="E12" s="65"/>
      <c r="F12" s="117">
        <f>SUM(F5:F11)</f>
        <v>0</v>
      </c>
    </row>
    <row r="13" spans="1:6" ht="15" thickBot="1">
      <c r="A13" s="86"/>
      <c r="B13" s="31"/>
      <c r="C13" s="32"/>
      <c r="D13" s="33"/>
      <c r="E13" s="66"/>
      <c r="F13" s="67"/>
    </row>
    <row r="14" spans="1:6" ht="15" thickBot="1">
      <c r="A14" s="87"/>
      <c r="B14" s="34" t="s">
        <v>35</v>
      </c>
      <c r="C14" s="35"/>
      <c r="D14" s="36"/>
      <c r="E14" s="68"/>
      <c r="F14" s="69"/>
    </row>
    <row r="15" spans="1:6" ht="51">
      <c r="A15" s="88"/>
      <c r="B15" s="37" t="s">
        <v>52</v>
      </c>
      <c r="C15" s="38"/>
      <c r="D15" s="39"/>
      <c r="E15" s="70"/>
      <c r="F15" s="71"/>
    </row>
    <row r="16" spans="1:6" ht="38.25">
      <c r="A16" s="84"/>
      <c r="B16" s="40" t="s">
        <v>25</v>
      </c>
      <c r="C16" s="21"/>
      <c r="D16" s="22"/>
      <c r="E16" s="27"/>
      <c r="F16" s="23"/>
    </row>
    <row r="17" spans="1:6" ht="25.5">
      <c r="A17" s="85" t="s">
        <v>54</v>
      </c>
      <c r="B17" s="135" t="s">
        <v>102</v>
      </c>
      <c r="C17" s="21" t="s">
        <v>47</v>
      </c>
      <c r="D17" s="22">
        <f>370*0.3</f>
        <v>111</v>
      </c>
      <c r="E17" s="512"/>
      <c r="F17" s="23">
        <f>D17*E17</f>
        <v>0</v>
      </c>
    </row>
    <row r="18" spans="1:6">
      <c r="A18" s="85" t="s">
        <v>55</v>
      </c>
      <c r="B18" s="20" t="s">
        <v>43</v>
      </c>
      <c r="C18" s="21" t="s">
        <v>47</v>
      </c>
      <c r="D18" s="22">
        <v>8</v>
      </c>
      <c r="E18" s="512"/>
      <c r="F18" s="23">
        <f>D18*E18</f>
        <v>0</v>
      </c>
    </row>
    <row r="19" spans="1:6" ht="38.25">
      <c r="A19" s="128" t="s">
        <v>56</v>
      </c>
      <c r="B19" s="145" t="s">
        <v>78</v>
      </c>
      <c r="C19" s="196"/>
      <c r="D19" s="197"/>
      <c r="E19" s="146"/>
      <c r="F19" s="147"/>
    </row>
    <row r="20" spans="1:6">
      <c r="A20" s="84"/>
      <c r="B20" s="198" t="s">
        <v>77</v>
      </c>
      <c r="C20" s="38" t="s">
        <v>47</v>
      </c>
      <c r="D20" s="39">
        <f>369.5*0.9</f>
        <v>332.55</v>
      </c>
      <c r="E20" s="515"/>
      <c r="F20" s="148">
        <f>D20*E20</f>
        <v>0</v>
      </c>
    </row>
    <row r="21" spans="1:6">
      <c r="A21" s="199"/>
      <c r="B21" s="200" t="s">
        <v>76</v>
      </c>
      <c r="C21" s="201" t="s">
        <v>47</v>
      </c>
      <c r="D21" s="202">
        <v>1.75</v>
      </c>
      <c r="E21" s="516"/>
      <c r="F21" s="149">
        <f>D21*E21</f>
        <v>0</v>
      </c>
    </row>
    <row r="22" spans="1:6" ht="38.25">
      <c r="A22" s="128" t="s">
        <v>57</v>
      </c>
      <c r="B22" s="145" t="s">
        <v>108</v>
      </c>
      <c r="C22" s="196"/>
      <c r="D22" s="197"/>
      <c r="E22" s="146"/>
      <c r="F22" s="147"/>
    </row>
    <row r="23" spans="1:6">
      <c r="A23" s="199"/>
      <c r="B23" s="200" t="s">
        <v>77</v>
      </c>
      <c r="C23" s="201" t="s">
        <v>47</v>
      </c>
      <c r="D23" s="202">
        <f>(370-185*1.2)*0.25</f>
        <v>37</v>
      </c>
      <c r="E23" s="516"/>
      <c r="F23" s="149">
        <f>D23*E23</f>
        <v>0</v>
      </c>
    </row>
    <row r="24" spans="1:6" ht="38.25">
      <c r="A24" s="85" t="s">
        <v>58</v>
      </c>
      <c r="B24" s="145" t="s">
        <v>79</v>
      </c>
      <c r="C24" s="21" t="s">
        <v>47</v>
      </c>
      <c r="D24" s="202">
        <f>369.5*0.1</f>
        <v>36.950000000000003</v>
      </c>
      <c r="E24" s="517"/>
      <c r="F24" s="41">
        <f>D24*E24</f>
        <v>0</v>
      </c>
    </row>
    <row r="25" spans="1:6" ht="38.25">
      <c r="A25" s="85" t="s">
        <v>59</v>
      </c>
      <c r="B25" s="176" t="s">
        <v>29</v>
      </c>
      <c r="C25" s="21" t="s">
        <v>48</v>
      </c>
      <c r="D25" s="22">
        <f>185*2*1.7</f>
        <v>629</v>
      </c>
      <c r="E25" s="518"/>
      <c r="F25" s="41">
        <f t="shared" ref="F25:F36" si="1">D25*E25</f>
        <v>0</v>
      </c>
    </row>
    <row r="26" spans="1:6" ht="63.75">
      <c r="A26" s="85" t="s">
        <v>60</v>
      </c>
      <c r="B26" s="20" t="s">
        <v>73</v>
      </c>
      <c r="C26" s="21" t="s">
        <v>6</v>
      </c>
      <c r="D26" s="22">
        <v>20</v>
      </c>
      <c r="E26" s="518"/>
      <c r="F26" s="41">
        <f t="shared" si="1"/>
        <v>0</v>
      </c>
    </row>
    <row r="27" spans="1:6" ht="25.5">
      <c r="A27" s="85" t="s">
        <v>61</v>
      </c>
      <c r="B27" s="176" t="s">
        <v>44</v>
      </c>
      <c r="C27" s="26" t="s">
        <v>48</v>
      </c>
      <c r="D27" s="22">
        <f>185*0.9</f>
        <v>166.5</v>
      </c>
      <c r="E27" s="512"/>
      <c r="F27" s="41">
        <f t="shared" si="1"/>
        <v>0</v>
      </c>
    </row>
    <row r="28" spans="1:6" ht="51">
      <c r="A28" s="85" t="s">
        <v>62</v>
      </c>
      <c r="B28" s="135" t="s">
        <v>85</v>
      </c>
      <c r="C28" s="21" t="s">
        <v>47</v>
      </c>
      <c r="D28" s="22">
        <f>32.3*1.1</f>
        <v>35.53</v>
      </c>
      <c r="E28" s="512"/>
      <c r="F28" s="41">
        <f t="shared" si="1"/>
        <v>0</v>
      </c>
    </row>
    <row r="29" spans="1:6" ht="51">
      <c r="A29" s="85" t="s">
        <v>63</v>
      </c>
      <c r="B29" s="135" t="s">
        <v>86</v>
      </c>
      <c r="C29" s="21" t="s">
        <v>47</v>
      </c>
      <c r="D29" s="22">
        <f>64.36*1.1</f>
        <v>70.796000000000006</v>
      </c>
      <c r="E29" s="512"/>
      <c r="F29" s="41">
        <f t="shared" si="1"/>
        <v>0</v>
      </c>
    </row>
    <row r="30" spans="1:6" ht="76.5">
      <c r="A30" s="85" t="s">
        <v>64</v>
      </c>
      <c r="B30" s="20" t="s">
        <v>22</v>
      </c>
      <c r="C30" s="21" t="s">
        <v>47</v>
      </c>
      <c r="D30" s="22">
        <v>221</v>
      </c>
      <c r="E30" s="512"/>
      <c r="F30" s="41">
        <f t="shared" si="1"/>
        <v>0</v>
      </c>
    </row>
    <row r="31" spans="1:6" ht="38.25">
      <c r="A31" s="85" t="s">
        <v>65</v>
      </c>
      <c r="B31" s="140" t="s">
        <v>87</v>
      </c>
      <c r="C31" s="21" t="s">
        <v>47</v>
      </c>
      <c r="D31" s="22">
        <f>370*0.3*1.1</f>
        <v>122.10000000000001</v>
      </c>
      <c r="E31" s="512"/>
      <c r="F31" s="41">
        <f t="shared" si="1"/>
        <v>0</v>
      </c>
    </row>
    <row r="32" spans="1:6" ht="38.25">
      <c r="A32" s="85" t="s">
        <v>66</v>
      </c>
      <c r="B32" s="140" t="s">
        <v>101</v>
      </c>
      <c r="C32" s="21" t="s">
        <v>47</v>
      </c>
      <c r="D32" s="22">
        <f>370*0.25*1.1</f>
        <v>101.75000000000001</v>
      </c>
      <c r="E32" s="512"/>
      <c r="F32" s="41">
        <f t="shared" si="1"/>
        <v>0</v>
      </c>
    </row>
    <row r="33" spans="1:7" ht="25.5">
      <c r="A33" s="85" t="s">
        <v>67</v>
      </c>
      <c r="B33" s="42" t="s">
        <v>45</v>
      </c>
      <c r="C33" s="21" t="s">
        <v>9</v>
      </c>
      <c r="D33" s="22">
        <v>185</v>
      </c>
      <c r="E33" s="512"/>
      <c r="F33" s="41">
        <f t="shared" si="1"/>
        <v>0</v>
      </c>
    </row>
    <row r="34" spans="1:7" ht="38.25">
      <c r="A34" s="85" t="s">
        <v>68</v>
      </c>
      <c r="B34" s="42" t="s">
        <v>181</v>
      </c>
      <c r="C34" s="21" t="s">
        <v>47</v>
      </c>
      <c r="D34" s="22">
        <f>((D8*0.1)++D17+D18+D20+D21+D23-D30)*1.25</f>
        <v>382.87499999999994</v>
      </c>
      <c r="E34" s="512"/>
      <c r="F34" s="41">
        <f t="shared" si="1"/>
        <v>0</v>
      </c>
    </row>
    <row r="35" spans="1:7" ht="25.5">
      <c r="A35" s="85" t="s">
        <v>69</v>
      </c>
      <c r="B35" s="20" t="s">
        <v>23</v>
      </c>
      <c r="C35" s="26" t="s">
        <v>48</v>
      </c>
      <c r="D35" s="22">
        <v>370</v>
      </c>
      <c r="E35" s="512"/>
      <c r="F35" s="41">
        <f t="shared" si="1"/>
        <v>0</v>
      </c>
    </row>
    <row r="36" spans="1:7" s="191" customFormat="1" ht="15" thickBot="1">
      <c r="A36" s="85" t="s">
        <v>70</v>
      </c>
      <c r="B36" s="176" t="s">
        <v>117</v>
      </c>
      <c r="C36" s="26" t="s">
        <v>48</v>
      </c>
      <c r="D36" s="22">
        <f>(D35)*1.1</f>
        <v>407.00000000000006</v>
      </c>
      <c r="E36" s="512"/>
      <c r="F36" s="41">
        <f t="shared" si="1"/>
        <v>0</v>
      </c>
      <c r="G36" s="12"/>
    </row>
    <row r="37" spans="1:7" ht="15" thickBot="1">
      <c r="A37" s="125" t="s">
        <v>36</v>
      </c>
      <c r="B37" s="126" t="s">
        <v>11</v>
      </c>
      <c r="C37" s="44"/>
      <c r="D37" s="45"/>
      <c r="E37" s="72"/>
      <c r="F37" s="127">
        <f>SUM(F17:F36)</f>
        <v>0</v>
      </c>
      <c r="G37" s="9"/>
    </row>
    <row r="38" spans="1:7" ht="15" thickBot="1">
      <c r="A38" s="86"/>
      <c r="B38" s="203"/>
      <c r="C38" s="204"/>
      <c r="D38" s="205"/>
      <c r="E38" s="73"/>
      <c r="F38" s="66"/>
      <c r="G38" s="9"/>
    </row>
    <row r="39" spans="1:7" ht="15" thickBot="1">
      <c r="A39" s="90"/>
      <c r="B39" s="46" t="s">
        <v>37</v>
      </c>
      <c r="C39" s="47"/>
      <c r="D39" s="48"/>
      <c r="E39" s="74"/>
      <c r="F39" s="75"/>
      <c r="G39" s="9"/>
    </row>
    <row r="40" spans="1:7" ht="63.75">
      <c r="A40" s="88"/>
      <c r="B40" s="49" t="s">
        <v>24</v>
      </c>
      <c r="C40" s="17"/>
      <c r="D40" s="18"/>
      <c r="E40" s="64"/>
      <c r="F40" s="19"/>
      <c r="G40" s="9"/>
    </row>
    <row r="41" spans="1:7" ht="76.5">
      <c r="A41" s="89">
        <v>1</v>
      </c>
      <c r="B41" s="42" t="s">
        <v>98</v>
      </c>
      <c r="C41" s="21" t="s">
        <v>9</v>
      </c>
      <c r="D41" s="22">
        <v>195</v>
      </c>
      <c r="E41" s="519"/>
      <c r="F41" s="43">
        <f t="shared" ref="F41:F43" si="2">D41*E41</f>
        <v>0</v>
      </c>
      <c r="G41" s="9"/>
    </row>
    <row r="42" spans="1:7">
      <c r="A42" s="133"/>
      <c r="B42" s="207" t="s">
        <v>136</v>
      </c>
      <c r="C42" s="201" t="s">
        <v>6</v>
      </c>
      <c r="D42" s="22">
        <v>8</v>
      </c>
      <c r="E42" s="519"/>
      <c r="F42" s="43">
        <f t="shared" si="2"/>
        <v>0</v>
      </c>
      <c r="G42" s="9"/>
    </row>
    <row r="43" spans="1:7">
      <c r="A43" s="89"/>
      <c r="B43" s="177" t="s">
        <v>137</v>
      </c>
      <c r="C43" s="21" t="s">
        <v>6</v>
      </c>
      <c r="D43" s="22">
        <v>1</v>
      </c>
      <c r="E43" s="519"/>
      <c r="F43" s="43">
        <f t="shared" si="2"/>
        <v>0</v>
      </c>
      <c r="G43" s="9"/>
    </row>
    <row r="44" spans="1:7" ht="191.25">
      <c r="A44" s="129" t="s">
        <v>55</v>
      </c>
      <c r="B44" s="208" t="s">
        <v>100</v>
      </c>
      <c r="C44" s="196"/>
      <c r="D44" s="197"/>
      <c r="E44" s="209"/>
      <c r="F44" s="130"/>
      <c r="G44" s="9"/>
    </row>
    <row r="45" spans="1:7">
      <c r="A45" s="133"/>
      <c r="B45" s="207" t="s">
        <v>30</v>
      </c>
      <c r="C45" s="201" t="s">
        <v>6</v>
      </c>
      <c r="D45" s="202">
        <v>10</v>
      </c>
      <c r="E45" s="520"/>
      <c r="F45" s="134">
        <f t="shared" ref="F45:F51" si="3">D45*E45</f>
        <v>0</v>
      </c>
      <c r="G45" s="9"/>
    </row>
    <row r="46" spans="1:7" ht="51">
      <c r="A46" s="89" t="s">
        <v>56</v>
      </c>
      <c r="B46" s="42" t="s">
        <v>109</v>
      </c>
      <c r="C46" s="21" t="s">
        <v>6</v>
      </c>
      <c r="D46" s="22">
        <v>1</v>
      </c>
      <c r="E46" s="512"/>
      <c r="F46" s="43">
        <f t="shared" si="3"/>
        <v>0</v>
      </c>
      <c r="G46" s="9"/>
    </row>
    <row r="47" spans="1:7" ht="102">
      <c r="A47" s="89" t="s">
        <v>57</v>
      </c>
      <c r="B47" s="176" t="s">
        <v>89</v>
      </c>
      <c r="C47" s="21" t="s">
        <v>6</v>
      </c>
      <c r="D47" s="22">
        <v>4</v>
      </c>
      <c r="E47" s="518"/>
      <c r="F47" s="43">
        <f t="shared" si="3"/>
        <v>0</v>
      </c>
      <c r="G47" s="9"/>
    </row>
    <row r="48" spans="1:7" ht="51">
      <c r="A48" s="89" t="s">
        <v>58</v>
      </c>
      <c r="B48" s="20" t="s">
        <v>90</v>
      </c>
      <c r="C48" s="21" t="s">
        <v>6</v>
      </c>
      <c r="D48" s="22">
        <v>4</v>
      </c>
      <c r="E48" s="518"/>
      <c r="F48" s="43">
        <f t="shared" si="3"/>
        <v>0</v>
      </c>
      <c r="G48" s="9"/>
    </row>
    <row r="49" spans="1:7" ht="38.25">
      <c r="A49" s="89" t="s">
        <v>59</v>
      </c>
      <c r="B49" s="142" t="s">
        <v>91</v>
      </c>
      <c r="C49" s="21" t="s">
        <v>6</v>
      </c>
      <c r="D49" s="143">
        <v>3</v>
      </c>
      <c r="E49" s="513"/>
      <c r="F49" s="43">
        <f t="shared" si="3"/>
        <v>0</v>
      </c>
    </row>
    <row r="50" spans="1:7" ht="89.25">
      <c r="A50" s="89" t="s">
        <v>60</v>
      </c>
      <c r="B50" s="176" t="s">
        <v>81</v>
      </c>
      <c r="C50" s="21" t="s">
        <v>9</v>
      </c>
      <c r="D50" s="22">
        <f>4*8</f>
        <v>32</v>
      </c>
      <c r="E50" s="518"/>
      <c r="F50" s="43">
        <f t="shared" si="3"/>
        <v>0</v>
      </c>
    </row>
    <row r="51" spans="1:7" ht="15" thickBot="1">
      <c r="A51" s="131"/>
      <c r="B51" s="210" t="s">
        <v>115</v>
      </c>
      <c r="C51" s="38" t="s">
        <v>6</v>
      </c>
      <c r="D51" s="39">
        <v>4</v>
      </c>
      <c r="E51" s="522"/>
      <c r="F51" s="132">
        <f t="shared" si="3"/>
        <v>0</v>
      </c>
    </row>
    <row r="52" spans="1:7" ht="15" thickBot="1">
      <c r="A52" s="122" t="s">
        <v>38</v>
      </c>
      <c r="B52" s="124" t="s">
        <v>26</v>
      </c>
      <c r="C52" s="50"/>
      <c r="D52" s="51"/>
      <c r="E52" s="76"/>
      <c r="F52" s="123">
        <f>SUM(F41:F51)</f>
        <v>0</v>
      </c>
    </row>
    <row r="53" spans="1:7" ht="15" thickBot="1">
      <c r="A53" s="86"/>
      <c r="B53" s="31"/>
      <c r="C53" s="32"/>
      <c r="D53" s="33"/>
      <c r="E53" s="66"/>
      <c r="F53" s="66"/>
    </row>
    <row r="54" spans="1:7" ht="15" thickBot="1">
      <c r="A54" s="87"/>
      <c r="B54" s="52" t="s">
        <v>39</v>
      </c>
      <c r="C54" s="53"/>
      <c r="D54" s="54"/>
      <c r="E54" s="77"/>
      <c r="F54" s="78"/>
    </row>
    <row r="55" spans="1:7" ht="63.75">
      <c r="A55" s="84"/>
      <c r="B55" s="37" t="s">
        <v>8</v>
      </c>
      <c r="C55" s="38"/>
      <c r="D55" s="39"/>
      <c r="E55" s="70"/>
      <c r="F55" s="71"/>
    </row>
    <row r="56" spans="1:7" ht="25.5">
      <c r="A56" s="85" t="s">
        <v>54</v>
      </c>
      <c r="B56" s="55" t="s">
        <v>42</v>
      </c>
      <c r="C56" s="26" t="s">
        <v>9</v>
      </c>
      <c r="D56" s="81">
        <v>185</v>
      </c>
      <c r="E56" s="524"/>
      <c r="F56" s="23">
        <f t="shared" ref="F56:F66" si="4">D56*E56</f>
        <v>0</v>
      </c>
    </row>
    <row r="57" spans="1:7" ht="25.5">
      <c r="A57" s="85" t="s">
        <v>55</v>
      </c>
      <c r="B57" s="55" t="s">
        <v>104</v>
      </c>
      <c r="C57" s="26" t="s">
        <v>9</v>
      </c>
      <c r="D57" s="81">
        <v>185</v>
      </c>
      <c r="E57" s="524"/>
      <c r="F57" s="23">
        <f>D57*E57</f>
        <v>0</v>
      </c>
    </row>
    <row r="58" spans="1:7">
      <c r="A58" s="85" t="s">
        <v>56</v>
      </c>
      <c r="B58" s="55" t="s">
        <v>105</v>
      </c>
      <c r="C58" s="26" t="s">
        <v>9</v>
      </c>
      <c r="D58" s="81">
        <v>185</v>
      </c>
      <c r="E58" s="524"/>
      <c r="F58" s="23">
        <f>D58*E58</f>
        <v>0</v>
      </c>
    </row>
    <row r="59" spans="1:7" ht="25.5">
      <c r="A59" s="85" t="s">
        <v>57</v>
      </c>
      <c r="B59" s="184" t="s">
        <v>118</v>
      </c>
      <c r="C59" s="21" t="s">
        <v>48</v>
      </c>
      <c r="D59" s="22">
        <v>370</v>
      </c>
      <c r="E59" s="525"/>
      <c r="F59" s="23">
        <f>D59*E59</f>
        <v>0</v>
      </c>
    </row>
    <row r="60" spans="1:7" ht="25.5">
      <c r="A60" s="89" t="s">
        <v>58</v>
      </c>
      <c r="B60" s="141" t="s">
        <v>119</v>
      </c>
      <c r="C60" s="21" t="s">
        <v>48</v>
      </c>
      <c r="D60" s="22">
        <v>370</v>
      </c>
      <c r="E60" s="525"/>
      <c r="F60" s="23">
        <f t="shared" si="4"/>
        <v>0</v>
      </c>
    </row>
    <row r="61" spans="1:7" ht="51">
      <c r="A61" s="85" t="s">
        <v>59</v>
      </c>
      <c r="B61" s="175" t="s">
        <v>93</v>
      </c>
      <c r="C61" s="21" t="s">
        <v>9</v>
      </c>
      <c r="D61" s="138">
        <v>10</v>
      </c>
      <c r="E61" s="513"/>
      <c r="F61" s="23">
        <f t="shared" ref="F61" si="5">D61*E61</f>
        <v>0</v>
      </c>
    </row>
    <row r="62" spans="1:7" ht="25.5">
      <c r="A62" s="85" t="s">
        <v>60</v>
      </c>
      <c r="B62" s="24" t="s">
        <v>94</v>
      </c>
      <c r="C62" s="21" t="s">
        <v>47</v>
      </c>
      <c r="D62" s="22">
        <v>6</v>
      </c>
      <c r="E62" s="512"/>
      <c r="F62" s="23">
        <f t="shared" si="4"/>
        <v>0</v>
      </c>
    </row>
    <row r="63" spans="1:7" ht="51">
      <c r="A63" s="85" t="s">
        <v>61</v>
      </c>
      <c r="B63" s="24" t="s">
        <v>138</v>
      </c>
      <c r="C63" s="21" t="s">
        <v>48</v>
      </c>
      <c r="D63" s="22">
        <v>6</v>
      </c>
      <c r="E63" s="512"/>
      <c r="F63" s="23">
        <f t="shared" si="4"/>
        <v>0</v>
      </c>
    </row>
    <row r="64" spans="1:7" s="150" customFormat="1" ht="38.25">
      <c r="A64" s="85" t="s">
        <v>62</v>
      </c>
      <c r="B64" s="24" t="s">
        <v>614</v>
      </c>
      <c r="C64" s="21" t="s">
        <v>6</v>
      </c>
      <c r="D64" s="22">
        <v>1</v>
      </c>
      <c r="E64" s="512"/>
      <c r="F64" s="23">
        <f>D64*E64</f>
        <v>0</v>
      </c>
      <c r="G64" s="58"/>
    </row>
    <row r="65" spans="1:7" s="150" customFormat="1" ht="38.25">
      <c r="A65" s="85" t="s">
        <v>63</v>
      </c>
      <c r="B65" s="24" t="s">
        <v>615</v>
      </c>
      <c r="C65" s="21" t="s">
        <v>6</v>
      </c>
      <c r="D65" s="22">
        <v>1</v>
      </c>
      <c r="E65" s="512"/>
      <c r="F65" s="23">
        <f>D65*E65</f>
        <v>0</v>
      </c>
      <c r="G65" s="58"/>
    </row>
    <row r="66" spans="1:7" ht="51">
      <c r="A66" s="85" t="s">
        <v>64</v>
      </c>
      <c r="B66" s="24" t="s">
        <v>21</v>
      </c>
      <c r="C66" s="21" t="s">
        <v>6</v>
      </c>
      <c r="D66" s="22">
        <v>4</v>
      </c>
      <c r="E66" s="512"/>
      <c r="F66" s="23">
        <f t="shared" si="4"/>
        <v>0</v>
      </c>
    </row>
    <row r="67" spans="1:7" s="150" customFormat="1" ht="51.75" thickBot="1">
      <c r="A67" s="85" t="s">
        <v>65</v>
      </c>
      <c r="B67" s="24" t="s">
        <v>96</v>
      </c>
      <c r="C67" s="21" t="s">
        <v>6</v>
      </c>
      <c r="D67" s="22">
        <v>4</v>
      </c>
      <c r="E67" s="512"/>
      <c r="F67" s="23">
        <f>D67*E67</f>
        <v>0</v>
      </c>
      <c r="G67" s="58"/>
    </row>
    <row r="68" spans="1:7" ht="15" thickBot="1">
      <c r="A68" s="119" t="s">
        <v>40</v>
      </c>
      <c r="B68" s="120" t="s">
        <v>10</v>
      </c>
      <c r="C68" s="56"/>
      <c r="D68" s="57"/>
      <c r="E68" s="79"/>
      <c r="F68" s="121">
        <f>SUM(F56:F67)</f>
        <v>0</v>
      </c>
      <c r="G68" s="9"/>
    </row>
    <row r="69" spans="1:7" ht="15" thickBot="1">
      <c r="G69" s="9"/>
    </row>
    <row r="70" spans="1:7" ht="15" thickBot="1">
      <c r="A70" s="169"/>
      <c r="B70" s="170" t="s">
        <v>180</v>
      </c>
      <c r="C70" s="171"/>
      <c r="D70" s="172"/>
      <c r="E70" s="173"/>
      <c r="F70" s="174">
        <f>F12+F37+F52+F68</f>
        <v>0</v>
      </c>
      <c r="G70" s="9"/>
    </row>
    <row r="72" spans="1:7">
      <c r="G72" s="9"/>
    </row>
  </sheetData>
  <sheetProtection algorithmName="SHA-512" hashValue="BIeXmSKWgfk7SXW9wf6+QuJRIfuIYR3fjlxNwkpUVL8B5qu5zeGUky0f2DqO9qQLmvX33K10ULqruijWqV+Cew==" saltValue="eoOjo7All2k5Vcb1+4FpR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37"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G81"/>
  <sheetViews>
    <sheetView view="pageBreakPreview" topLeftCell="A64" zoomScaleNormal="100" zoomScaleSheetLayoutView="100" workbookViewId="0">
      <selection activeCell="E65" activeCellId="3" sqref="E52:E58 E59 E64 E65:E76"/>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401</v>
      </c>
      <c r="B1" s="178" t="s">
        <v>168</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320</v>
      </c>
      <c r="E5" s="512"/>
      <c r="F5" s="23">
        <f t="shared" ref="F5:F12" si="0">D5*E5</f>
        <v>0</v>
      </c>
    </row>
    <row r="6" spans="1:6" ht="25.5">
      <c r="A6" s="85" t="s">
        <v>55</v>
      </c>
      <c r="B6" s="24" t="s">
        <v>28</v>
      </c>
      <c r="C6" s="21" t="s">
        <v>6</v>
      </c>
      <c r="D6" s="22">
        <f>1+9+3</f>
        <v>13</v>
      </c>
      <c r="E6" s="512"/>
      <c r="F6" s="23">
        <f t="shared" si="0"/>
        <v>0</v>
      </c>
    </row>
    <row r="7" spans="1:6" ht="38.25">
      <c r="A7" s="85" t="s">
        <v>56</v>
      </c>
      <c r="B7" s="25" t="s">
        <v>120</v>
      </c>
      <c r="C7" s="21" t="s">
        <v>9</v>
      </c>
      <c r="D7" s="22">
        <v>36</v>
      </c>
      <c r="E7" s="512"/>
      <c r="F7" s="23">
        <f t="shared" si="0"/>
        <v>0</v>
      </c>
    </row>
    <row r="8" spans="1:6" ht="38.25">
      <c r="A8" s="85" t="s">
        <v>57</v>
      </c>
      <c r="B8" s="211" t="s">
        <v>121</v>
      </c>
      <c r="C8" s="21" t="s">
        <v>9</v>
      </c>
      <c r="D8" s="22">
        <v>70</v>
      </c>
      <c r="E8" s="512"/>
      <c r="F8" s="23">
        <f t="shared" si="0"/>
        <v>0</v>
      </c>
    </row>
    <row r="9" spans="1:6" ht="38.25">
      <c r="A9" s="84" t="s">
        <v>58</v>
      </c>
      <c r="B9" s="176" t="s">
        <v>53</v>
      </c>
      <c r="C9" s="26" t="s">
        <v>48</v>
      </c>
      <c r="D9" s="22">
        <v>36</v>
      </c>
      <c r="E9" s="512"/>
      <c r="F9" s="23">
        <f t="shared" si="0"/>
        <v>0</v>
      </c>
    </row>
    <row r="10" spans="1:6" ht="38.25">
      <c r="A10" s="84" t="s">
        <v>59</v>
      </c>
      <c r="B10" s="176" t="s">
        <v>122</v>
      </c>
      <c r="C10" s="26" t="s">
        <v>48</v>
      </c>
      <c r="D10" s="22">
        <v>60</v>
      </c>
      <c r="E10" s="512"/>
      <c r="F10" s="23">
        <f t="shared" si="0"/>
        <v>0</v>
      </c>
    </row>
    <row r="11" spans="1:6" ht="38.25">
      <c r="A11" s="84" t="s">
        <v>60</v>
      </c>
      <c r="B11" s="192" t="s">
        <v>75</v>
      </c>
      <c r="C11" s="137" t="s">
        <v>9</v>
      </c>
      <c r="D11" s="138">
        <v>10</v>
      </c>
      <c r="E11" s="527"/>
      <c r="F11" s="139">
        <f t="shared" si="0"/>
        <v>0</v>
      </c>
    </row>
    <row r="12" spans="1:6" ht="39" thickBot="1">
      <c r="A12" s="84" t="s">
        <v>61</v>
      </c>
      <c r="B12" s="20" t="s">
        <v>83</v>
      </c>
      <c r="C12" s="21" t="s">
        <v>47</v>
      </c>
      <c r="D12" s="22">
        <v>10</v>
      </c>
      <c r="E12" s="512"/>
      <c r="F12" s="23">
        <f t="shared" si="0"/>
        <v>0</v>
      </c>
    </row>
    <row r="13" spans="1:6" ht="15" thickBot="1">
      <c r="A13" s="116" t="s">
        <v>34</v>
      </c>
      <c r="B13" s="28" t="s">
        <v>12</v>
      </c>
      <c r="C13" s="29"/>
      <c r="D13" s="30"/>
      <c r="E13" s="65"/>
      <c r="F13" s="117">
        <f>SUM(F5:F12)</f>
        <v>0</v>
      </c>
    </row>
    <row r="14" spans="1:6" ht="15" thickBot="1">
      <c r="A14" s="86"/>
      <c r="B14" s="31"/>
      <c r="C14" s="32"/>
      <c r="D14" s="33"/>
      <c r="E14" s="66"/>
      <c r="F14" s="67"/>
    </row>
    <row r="15" spans="1:6" ht="15" thickBot="1">
      <c r="A15" s="87"/>
      <c r="B15" s="34" t="s">
        <v>35</v>
      </c>
      <c r="C15" s="35"/>
      <c r="D15" s="36"/>
      <c r="E15" s="68"/>
      <c r="F15" s="69"/>
    </row>
    <row r="16" spans="1:6" ht="51">
      <c r="A16" s="88"/>
      <c r="B16" s="37" t="s">
        <v>52</v>
      </c>
      <c r="C16" s="38"/>
      <c r="D16" s="39"/>
      <c r="E16" s="70"/>
      <c r="F16" s="71"/>
    </row>
    <row r="17" spans="1:6" ht="38.25">
      <c r="A17" s="84"/>
      <c r="B17" s="40" t="s">
        <v>25</v>
      </c>
      <c r="C17" s="21"/>
      <c r="D17" s="22"/>
      <c r="E17" s="27"/>
      <c r="F17" s="23"/>
    </row>
    <row r="18" spans="1:6" ht="25.5">
      <c r="A18" s="85" t="s">
        <v>54</v>
      </c>
      <c r="B18" s="135" t="s">
        <v>102</v>
      </c>
      <c r="C18" s="21" t="s">
        <v>47</v>
      </c>
      <c r="D18" s="22">
        <f>40*0.3+65*0.3+324*0.3</f>
        <v>128.69999999999999</v>
      </c>
      <c r="E18" s="512"/>
      <c r="F18" s="23">
        <f>D18*E18</f>
        <v>0</v>
      </c>
    </row>
    <row r="19" spans="1:6">
      <c r="A19" s="85" t="s">
        <v>55</v>
      </c>
      <c r="B19" s="20" t="s">
        <v>43</v>
      </c>
      <c r="C19" s="21" t="s">
        <v>47</v>
      </c>
      <c r="D19" s="22">
        <v>10</v>
      </c>
      <c r="E19" s="512"/>
      <c r="F19" s="23">
        <f>D19*E19</f>
        <v>0</v>
      </c>
    </row>
    <row r="20" spans="1:6" ht="38.25">
      <c r="A20" s="128" t="s">
        <v>56</v>
      </c>
      <c r="B20" s="145" t="s">
        <v>78</v>
      </c>
      <c r="C20" s="196"/>
      <c r="D20" s="197"/>
      <c r="E20" s="146"/>
      <c r="F20" s="147"/>
    </row>
    <row r="21" spans="1:6">
      <c r="A21" s="84"/>
      <c r="B21" s="198" t="s">
        <v>77</v>
      </c>
      <c r="C21" s="38" t="s">
        <v>47</v>
      </c>
      <c r="D21" s="39">
        <f>788.4*0.9</f>
        <v>709.56</v>
      </c>
      <c r="E21" s="515"/>
      <c r="F21" s="148">
        <f>D21*E21</f>
        <v>0</v>
      </c>
    </row>
    <row r="22" spans="1:6">
      <c r="A22" s="199"/>
      <c r="B22" s="200" t="s">
        <v>76</v>
      </c>
      <c r="C22" s="201" t="s">
        <v>47</v>
      </c>
      <c r="D22" s="202">
        <v>73.06</v>
      </c>
      <c r="E22" s="516"/>
      <c r="F22" s="149">
        <f>D22*E22</f>
        <v>0</v>
      </c>
    </row>
    <row r="23" spans="1:6" ht="38.25">
      <c r="A23" s="128" t="s">
        <v>57</v>
      </c>
      <c r="B23" s="145" t="s">
        <v>108</v>
      </c>
      <c r="C23" s="196"/>
      <c r="D23" s="197"/>
      <c r="E23" s="146"/>
      <c r="F23" s="147"/>
    </row>
    <row r="24" spans="1:6">
      <c r="A24" s="199"/>
      <c r="B24" s="200" t="s">
        <v>77</v>
      </c>
      <c r="C24" s="201" t="s">
        <v>47</v>
      </c>
      <c r="D24" s="202">
        <f>1*162*0.15</f>
        <v>24.3</v>
      </c>
      <c r="E24" s="516"/>
      <c r="F24" s="149">
        <f>D24*E24</f>
        <v>0</v>
      </c>
    </row>
    <row r="25" spans="1:6" ht="38.25">
      <c r="A25" s="85" t="s">
        <v>58</v>
      </c>
      <c r="B25" s="145" t="s">
        <v>79</v>
      </c>
      <c r="C25" s="21" t="s">
        <v>47</v>
      </c>
      <c r="D25" s="202">
        <f>788.4*0.1</f>
        <v>78.84</v>
      </c>
      <c r="E25" s="517"/>
      <c r="F25" s="41">
        <f>D25*E25</f>
        <v>0</v>
      </c>
    </row>
    <row r="26" spans="1:6" ht="38.25">
      <c r="A26" s="85" t="s">
        <v>59</v>
      </c>
      <c r="B26" s="176" t="s">
        <v>29</v>
      </c>
      <c r="C26" s="21" t="s">
        <v>48</v>
      </c>
      <c r="D26" s="22">
        <f>320*2*2.15</f>
        <v>1376</v>
      </c>
      <c r="E26" s="518"/>
      <c r="F26" s="41">
        <f t="shared" ref="F26:F43" si="1">D26*E26</f>
        <v>0</v>
      </c>
    </row>
    <row r="27" spans="1:6" ht="63.75">
      <c r="A27" s="85" t="s">
        <v>60</v>
      </c>
      <c r="B27" s="20" t="s">
        <v>73</v>
      </c>
      <c r="C27" s="21" t="s">
        <v>6</v>
      </c>
      <c r="D27" s="22">
        <v>10</v>
      </c>
      <c r="E27" s="518"/>
      <c r="F27" s="41">
        <f t="shared" si="1"/>
        <v>0</v>
      </c>
    </row>
    <row r="28" spans="1:6" ht="25.5">
      <c r="A28" s="85" t="s">
        <v>61</v>
      </c>
      <c r="B28" s="176" t="s">
        <v>44</v>
      </c>
      <c r="C28" s="26" t="s">
        <v>48</v>
      </c>
      <c r="D28" s="22">
        <f>320*0.9</f>
        <v>288</v>
      </c>
      <c r="E28" s="512"/>
      <c r="F28" s="41">
        <f t="shared" si="1"/>
        <v>0</v>
      </c>
    </row>
    <row r="29" spans="1:6" ht="51">
      <c r="A29" s="85" t="s">
        <v>62</v>
      </c>
      <c r="B29" s="135" t="s">
        <v>85</v>
      </c>
      <c r="C29" s="21" t="s">
        <v>47</v>
      </c>
      <c r="D29" s="22">
        <f>60*1.1</f>
        <v>66</v>
      </c>
      <c r="E29" s="512"/>
      <c r="F29" s="41">
        <f t="shared" si="1"/>
        <v>0</v>
      </c>
    </row>
    <row r="30" spans="1:6" ht="51">
      <c r="A30" s="85" t="s">
        <v>63</v>
      </c>
      <c r="B30" s="135" t="s">
        <v>86</v>
      </c>
      <c r="C30" s="21" t="s">
        <v>47</v>
      </c>
      <c r="D30" s="22">
        <f>123*1.1</f>
        <v>135.30000000000001</v>
      </c>
      <c r="E30" s="512"/>
      <c r="F30" s="41">
        <f t="shared" si="1"/>
        <v>0</v>
      </c>
    </row>
    <row r="31" spans="1:6" ht="76.5">
      <c r="A31" s="85" t="s">
        <v>64</v>
      </c>
      <c r="B31" s="20" t="s">
        <v>22</v>
      </c>
      <c r="C31" s="21" t="s">
        <v>47</v>
      </c>
      <c r="D31" s="22">
        <v>611.02</v>
      </c>
      <c r="E31" s="512"/>
      <c r="F31" s="41">
        <f t="shared" si="1"/>
        <v>0</v>
      </c>
    </row>
    <row r="32" spans="1:6" ht="38.25">
      <c r="A32" s="85" t="s">
        <v>65</v>
      </c>
      <c r="B32" s="140" t="s">
        <v>87</v>
      </c>
      <c r="C32" s="21" t="s">
        <v>47</v>
      </c>
      <c r="D32" s="22">
        <f>40*0.3*1.1</f>
        <v>13.200000000000001</v>
      </c>
      <c r="E32" s="512"/>
      <c r="F32" s="41">
        <f t="shared" si="1"/>
        <v>0</v>
      </c>
    </row>
    <row r="33" spans="1:7" ht="38.25">
      <c r="A33" s="85" t="s">
        <v>66</v>
      </c>
      <c r="B33" s="140" t="s">
        <v>170</v>
      </c>
      <c r="C33" s="21" t="s">
        <v>47</v>
      </c>
      <c r="D33" s="22">
        <f>65*0.5*1.1</f>
        <v>35.75</v>
      </c>
      <c r="E33" s="512"/>
      <c r="F33" s="41">
        <f t="shared" ref="F33" si="2">D33*E33</f>
        <v>0</v>
      </c>
    </row>
    <row r="34" spans="1:7" ht="38.25">
      <c r="A34" s="85" t="s">
        <v>67</v>
      </c>
      <c r="B34" s="140" t="s">
        <v>175</v>
      </c>
      <c r="C34" s="21" t="s">
        <v>47</v>
      </c>
      <c r="D34" s="22">
        <f>65*0.2*1.1</f>
        <v>14.3</v>
      </c>
      <c r="E34" s="512"/>
      <c r="F34" s="41">
        <f t="shared" si="1"/>
        <v>0</v>
      </c>
    </row>
    <row r="35" spans="1:7" ht="38.25">
      <c r="A35" s="85" t="s">
        <v>68</v>
      </c>
      <c r="B35" s="140" t="s">
        <v>101</v>
      </c>
      <c r="C35" s="21" t="s">
        <v>47</v>
      </c>
      <c r="D35" s="22">
        <f>40*0.25*1.1</f>
        <v>11</v>
      </c>
      <c r="E35" s="512"/>
      <c r="F35" s="41">
        <f t="shared" ref="F35" si="3">D35*E35</f>
        <v>0</v>
      </c>
    </row>
    <row r="36" spans="1:7" ht="38.25">
      <c r="A36" s="85" t="s">
        <v>69</v>
      </c>
      <c r="B36" s="140" t="s">
        <v>172</v>
      </c>
      <c r="C36" s="21" t="s">
        <v>47</v>
      </c>
      <c r="D36" s="22">
        <f>324*0.45*1.1</f>
        <v>160.38000000000002</v>
      </c>
      <c r="E36" s="512"/>
      <c r="F36" s="41">
        <f t="shared" si="1"/>
        <v>0</v>
      </c>
    </row>
    <row r="37" spans="1:7" ht="25.5">
      <c r="A37" s="85" t="s">
        <v>70</v>
      </c>
      <c r="B37" s="42" t="s">
        <v>45</v>
      </c>
      <c r="C37" s="21" t="s">
        <v>9</v>
      </c>
      <c r="D37" s="22">
        <v>320</v>
      </c>
      <c r="E37" s="512"/>
      <c r="F37" s="41">
        <f t="shared" si="1"/>
        <v>0</v>
      </c>
    </row>
    <row r="38" spans="1:7" ht="38.25">
      <c r="A38" s="85" t="s">
        <v>71</v>
      </c>
      <c r="B38" s="42" t="s">
        <v>178</v>
      </c>
      <c r="C38" s="21" t="s">
        <v>47</v>
      </c>
      <c r="D38" s="22">
        <f>((D9*0.1)+(D10*0.15)+D18+D19+D21+D22+D24-D31)*1.25</f>
        <v>433.99999999999977</v>
      </c>
      <c r="E38" s="512"/>
      <c r="F38" s="41">
        <f t="shared" si="1"/>
        <v>0</v>
      </c>
    </row>
    <row r="39" spans="1:7" ht="25.5">
      <c r="A39" s="85" t="s">
        <v>80</v>
      </c>
      <c r="B39" s="20" t="s">
        <v>23</v>
      </c>
      <c r="C39" s="26" t="s">
        <v>48</v>
      </c>
      <c r="D39" s="22">
        <f>40+65</f>
        <v>105</v>
      </c>
      <c r="E39" s="512"/>
      <c r="F39" s="41">
        <f t="shared" si="1"/>
        <v>0</v>
      </c>
    </row>
    <row r="40" spans="1:7">
      <c r="A40" s="85" t="s">
        <v>103</v>
      </c>
      <c r="B40" s="20" t="s">
        <v>134</v>
      </c>
      <c r="C40" s="26" t="s">
        <v>48</v>
      </c>
      <c r="D40" s="22">
        <v>324</v>
      </c>
      <c r="E40" s="512"/>
      <c r="F40" s="41">
        <f t="shared" si="1"/>
        <v>0</v>
      </c>
    </row>
    <row r="41" spans="1:7" s="191" customFormat="1">
      <c r="A41" s="85" t="s">
        <v>113</v>
      </c>
      <c r="B41" s="176" t="s">
        <v>117</v>
      </c>
      <c r="C41" s="26" t="s">
        <v>48</v>
      </c>
      <c r="D41" s="22">
        <f>(D39+D40)*1.1</f>
        <v>471.90000000000003</v>
      </c>
      <c r="E41" s="512"/>
      <c r="F41" s="41">
        <f t="shared" si="1"/>
        <v>0</v>
      </c>
      <c r="G41" s="12"/>
    </row>
    <row r="42" spans="1:7" ht="38.25">
      <c r="A42" s="85" t="s">
        <v>123</v>
      </c>
      <c r="B42" s="42" t="s">
        <v>173</v>
      </c>
      <c r="C42" s="21" t="s">
        <v>47</v>
      </c>
      <c r="D42" s="22">
        <f>91*2.5*0.2</f>
        <v>45.5</v>
      </c>
      <c r="E42" s="512"/>
      <c r="F42" s="41">
        <f t="shared" si="1"/>
        <v>0</v>
      </c>
    </row>
    <row r="43" spans="1:7" ht="26.25" thickBot="1">
      <c r="A43" s="85" t="s">
        <v>185</v>
      </c>
      <c r="B43" s="177" t="s">
        <v>74</v>
      </c>
      <c r="C43" s="21" t="s">
        <v>48</v>
      </c>
      <c r="D43" s="22">
        <f>D42/0.2</f>
        <v>227.5</v>
      </c>
      <c r="E43" s="512"/>
      <c r="F43" s="41">
        <f t="shared" si="1"/>
        <v>0</v>
      </c>
    </row>
    <row r="44" spans="1:7" ht="15" thickBot="1">
      <c r="A44" s="125" t="s">
        <v>36</v>
      </c>
      <c r="B44" s="126" t="s">
        <v>11</v>
      </c>
      <c r="C44" s="44"/>
      <c r="D44" s="45"/>
      <c r="E44" s="72"/>
      <c r="F44" s="127">
        <f>SUM(F18:F43)</f>
        <v>0</v>
      </c>
      <c r="G44" s="9"/>
    </row>
    <row r="45" spans="1:7" ht="15" thickBot="1">
      <c r="A45" s="86"/>
      <c r="B45" s="203"/>
      <c r="C45" s="204"/>
      <c r="D45" s="205"/>
      <c r="E45" s="73"/>
      <c r="F45" s="66"/>
      <c r="G45" s="9"/>
    </row>
    <row r="46" spans="1:7" ht="15" thickBot="1">
      <c r="A46" s="90"/>
      <c r="B46" s="46" t="s">
        <v>37</v>
      </c>
      <c r="C46" s="47"/>
      <c r="D46" s="48"/>
      <c r="E46" s="74"/>
      <c r="F46" s="75"/>
      <c r="G46" s="9"/>
    </row>
    <row r="47" spans="1:7" ht="63.75">
      <c r="A47" s="88"/>
      <c r="B47" s="49" t="s">
        <v>24</v>
      </c>
      <c r="C47" s="17"/>
      <c r="D47" s="18"/>
      <c r="E47" s="64"/>
      <c r="F47" s="19"/>
      <c r="G47" s="9"/>
    </row>
    <row r="48" spans="1:7" ht="76.5">
      <c r="A48" s="89">
        <v>1</v>
      </c>
      <c r="B48" s="42" t="s">
        <v>99</v>
      </c>
      <c r="C48" s="21" t="s">
        <v>9</v>
      </c>
      <c r="D48" s="22">
        <v>330</v>
      </c>
      <c r="E48" s="519"/>
      <c r="F48" s="43">
        <f t="shared" ref="F48:F50" si="4">D48*E48</f>
        <v>0</v>
      </c>
      <c r="G48" s="9"/>
    </row>
    <row r="49" spans="1:7">
      <c r="A49" s="133"/>
      <c r="B49" s="207" t="s">
        <v>112</v>
      </c>
      <c r="C49" s="201" t="s">
        <v>6</v>
      </c>
      <c r="D49" s="22">
        <v>2</v>
      </c>
      <c r="E49" s="519"/>
      <c r="F49" s="43">
        <f t="shared" si="4"/>
        <v>0</v>
      </c>
      <c r="G49" s="9"/>
    </row>
    <row r="50" spans="1:7">
      <c r="A50" s="89"/>
      <c r="B50" s="177" t="s">
        <v>110</v>
      </c>
      <c r="C50" s="21" t="s">
        <v>6</v>
      </c>
      <c r="D50" s="22">
        <v>1</v>
      </c>
      <c r="E50" s="519"/>
      <c r="F50" s="43">
        <f t="shared" si="4"/>
        <v>0</v>
      </c>
      <c r="G50" s="9"/>
    </row>
    <row r="51" spans="1:7" ht="191.25">
      <c r="A51" s="129" t="s">
        <v>55</v>
      </c>
      <c r="B51" s="208" t="s">
        <v>100</v>
      </c>
      <c r="C51" s="196"/>
      <c r="D51" s="197"/>
      <c r="E51" s="209"/>
      <c r="F51" s="130"/>
      <c r="G51" s="9"/>
    </row>
    <row r="52" spans="1:7">
      <c r="A52" s="133"/>
      <c r="B52" s="207" t="s">
        <v>30</v>
      </c>
      <c r="C52" s="201" t="s">
        <v>6</v>
      </c>
      <c r="D52" s="202">
        <v>6</v>
      </c>
      <c r="E52" s="520"/>
      <c r="F52" s="134">
        <f t="shared" ref="F52:F59" si="5">D52*E52</f>
        <v>0</v>
      </c>
      <c r="G52" s="9"/>
    </row>
    <row r="53" spans="1:7">
      <c r="A53" s="133"/>
      <c r="B53" s="207" t="s">
        <v>31</v>
      </c>
      <c r="C53" s="201" t="s">
        <v>6</v>
      </c>
      <c r="D53" s="202">
        <v>3</v>
      </c>
      <c r="E53" s="520"/>
      <c r="F53" s="134">
        <f t="shared" si="5"/>
        <v>0</v>
      </c>
      <c r="G53" s="9"/>
    </row>
    <row r="54" spans="1:7" ht="51">
      <c r="A54" s="89" t="s">
        <v>56</v>
      </c>
      <c r="B54" s="42" t="s">
        <v>114</v>
      </c>
      <c r="C54" s="21" t="s">
        <v>6</v>
      </c>
      <c r="D54" s="22">
        <v>1</v>
      </c>
      <c r="E54" s="512"/>
      <c r="F54" s="43">
        <f t="shared" si="5"/>
        <v>0</v>
      </c>
      <c r="G54" s="9"/>
    </row>
    <row r="55" spans="1:7" ht="102">
      <c r="A55" s="89" t="s">
        <v>57</v>
      </c>
      <c r="B55" s="176" t="s">
        <v>89</v>
      </c>
      <c r="C55" s="21" t="s">
        <v>6</v>
      </c>
      <c r="D55" s="22">
        <v>3</v>
      </c>
      <c r="E55" s="518"/>
      <c r="F55" s="43">
        <f t="shared" si="5"/>
        <v>0</v>
      </c>
      <c r="G55" s="9"/>
    </row>
    <row r="56" spans="1:7" ht="51">
      <c r="A56" s="89" t="s">
        <v>58</v>
      </c>
      <c r="B56" s="20" t="s">
        <v>90</v>
      </c>
      <c r="C56" s="21" t="s">
        <v>6</v>
      </c>
      <c r="D56" s="22">
        <v>3</v>
      </c>
      <c r="E56" s="518"/>
      <c r="F56" s="43">
        <f t="shared" si="5"/>
        <v>0</v>
      </c>
      <c r="G56" s="9"/>
    </row>
    <row r="57" spans="1:7" ht="38.25">
      <c r="A57" s="89" t="s">
        <v>59</v>
      </c>
      <c r="B57" s="142" t="s">
        <v>91</v>
      </c>
      <c r="C57" s="21" t="s">
        <v>6</v>
      </c>
      <c r="D57" s="143">
        <v>2</v>
      </c>
      <c r="E57" s="513"/>
      <c r="F57" s="43">
        <f t="shared" si="5"/>
        <v>0</v>
      </c>
    </row>
    <row r="58" spans="1:7" ht="89.25">
      <c r="A58" s="89" t="s">
        <v>60</v>
      </c>
      <c r="B58" s="176" t="s">
        <v>81</v>
      </c>
      <c r="C58" s="21" t="s">
        <v>9</v>
      </c>
      <c r="D58" s="22">
        <f>3*8</f>
        <v>24</v>
      </c>
      <c r="E58" s="518"/>
      <c r="F58" s="43">
        <f t="shared" si="5"/>
        <v>0</v>
      </c>
    </row>
    <row r="59" spans="1:7" ht="15" thickBot="1">
      <c r="A59" s="131"/>
      <c r="B59" s="210" t="s">
        <v>115</v>
      </c>
      <c r="C59" s="38" t="s">
        <v>6</v>
      </c>
      <c r="D59" s="39">
        <v>3</v>
      </c>
      <c r="E59" s="522"/>
      <c r="F59" s="132">
        <f t="shared" si="5"/>
        <v>0</v>
      </c>
    </row>
    <row r="60" spans="1:7" ht="15" thickBot="1">
      <c r="A60" s="122" t="s">
        <v>38</v>
      </c>
      <c r="B60" s="124" t="s">
        <v>26</v>
      </c>
      <c r="C60" s="50"/>
      <c r="D60" s="51"/>
      <c r="E60" s="76"/>
      <c r="F60" s="123">
        <f>SUM(F48:F59)</f>
        <v>0</v>
      </c>
    </row>
    <row r="61" spans="1:7" ht="15" thickBot="1">
      <c r="A61" s="86"/>
      <c r="B61" s="31"/>
      <c r="C61" s="32"/>
      <c r="D61" s="33"/>
      <c r="E61" s="66"/>
      <c r="F61" s="66"/>
    </row>
    <row r="62" spans="1:7" ht="15" thickBot="1">
      <c r="A62" s="87"/>
      <c r="B62" s="52" t="s">
        <v>39</v>
      </c>
      <c r="C62" s="53"/>
      <c r="D62" s="54"/>
      <c r="E62" s="77"/>
      <c r="F62" s="78"/>
    </row>
    <row r="63" spans="1:7" ht="63.75">
      <c r="A63" s="84"/>
      <c r="B63" s="37" t="s">
        <v>8</v>
      </c>
      <c r="C63" s="38"/>
      <c r="D63" s="39"/>
      <c r="E63" s="70"/>
      <c r="F63" s="71"/>
    </row>
    <row r="64" spans="1:7" ht="25.5">
      <c r="A64" s="85" t="s">
        <v>54</v>
      </c>
      <c r="B64" s="55" t="s">
        <v>42</v>
      </c>
      <c r="C64" s="26" t="s">
        <v>9</v>
      </c>
      <c r="D64" s="81">
        <v>320</v>
      </c>
      <c r="E64" s="524"/>
      <c r="F64" s="23">
        <f t="shared" ref="F64:F74" si="6">D64*E64</f>
        <v>0</v>
      </c>
    </row>
    <row r="65" spans="1:7" ht="25.5">
      <c r="A65" s="85" t="s">
        <v>55</v>
      </c>
      <c r="B65" s="55" t="s">
        <v>104</v>
      </c>
      <c r="C65" s="26" t="s">
        <v>9</v>
      </c>
      <c r="D65" s="81">
        <f>D64</f>
        <v>320</v>
      </c>
      <c r="E65" s="524"/>
      <c r="F65" s="23">
        <f>D65*E65</f>
        <v>0</v>
      </c>
    </row>
    <row r="66" spans="1:7">
      <c r="A66" s="85" t="s">
        <v>56</v>
      </c>
      <c r="B66" s="55" t="s">
        <v>105</v>
      </c>
      <c r="C66" s="26" t="s">
        <v>9</v>
      </c>
      <c r="D66" s="81">
        <f>D64</f>
        <v>320</v>
      </c>
      <c r="E66" s="524"/>
      <c r="F66" s="23">
        <f>D66*E66</f>
        <v>0</v>
      </c>
    </row>
    <row r="67" spans="1:7" ht="25.5">
      <c r="A67" s="85" t="s">
        <v>57</v>
      </c>
      <c r="B67" s="175" t="s">
        <v>97</v>
      </c>
      <c r="C67" s="21" t="s">
        <v>48</v>
      </c>
      <c r="D67" s="138">
        <v>5</v>
      </c>
      <c r="E67" s="513"/>
      <c r="F67" s="23">
        <f t="shared" ref="F67" si="7">D67*E67</f>
        <v>0</v>
      </c>
    </row>
    <row r="68" spans="1:7" ht="25.5">
      <c r="A68" s="85" t="s">
        <v>58</v>
      </c>
      <c r="B68" s="184" t="s">
        <v>118</v>
      </c>
      <c r="C68" s="21" t="s">
        <v>48</v>
      </c>
      <c r="D68" s="22">
        <v>32</v>
      </c>
      <c r="E68" s="525"/>
      <c r="F68" s="23">
        <f>D68*E68</f>
        <v>0</v>
      </c>
    </row>
    <row r="69" spans="1:7" ht="25.5">
      <c r="A69" s="89" t="s">
        <v>59</v>
      </c>
      <c r="B69" s="141" t="s">
        <v>119</v>
      </c>
      <c r="C69" s="21" t="s">
        <v>48</v>
      </c>
      <c r="D69" s="22">
        <v>32</v>
      </c>
      <c r="E69" s="525"/>
      <c r="F69" s="23">
        <f t="shared" si="6"/>
        <v>0</v>
      </c>
    </row>
    <row r="70" spans="1:7" ht="25.5">
      <c r="A70" s="85" t="s">
        <v>60</v>
      </c>
      <c r="B70" s="212" t="s">
        <v>176</v>
      </c>
      <c r="C70" s="21" t="s">
        <v>48</v>
      </c>
      <c r="D70" s="22">
        <v>60</v>
      </c>
      <c r="E70" s="526"/>
      <c r="F70" s="213">
        <f>D70*E70</f>
        <v>0</v>
      </c>
    </row>
    <row r="71" spans="1:7" ht="25.5">
      <c r="A71" s="89" t="s">
        <v>61</v>
      </c>
      <c r="B71" s="214" t="s">
        <v>177</v>
      </c>
      <c r="C71" s="21" t="s">
        <v>48</v>
      </c>
      <c r="D71" s="22">
        <v>60</v>
      </c>
      <c r="E71" s="526"/>
      <c r="F71" s="213">
        <f t="shared" ref="F71:F72" si="8">D71*E71</f>
        <v>0</v>
      </c>
    </row>
    <row r="72" spans="1:7" ht="51">
      <c r="A72" s="85" t="s">
        <v>62</v>
      </c>
      <c r="B72" s="175" t="s">
        <v>93</v>
      </c>
      <c r="C72" s="21" t="s">
        <v>9</v>
      </c>
      <c r="D72" s="138">
        <v>10</v>
      </c>
      <c r="E72" s="513"/>
      <c r="F72" s="23">
        <f t="shared" si="8"/>
        <v>0</v>
      </c>
    </row>
    <row r="73" spans="1:7" ht="25.5">
      <c r="A73" s="85" t="s">
        <v>63</v>
      </c>
      <c r="B73" s="24" t="s">
        <v>94</v>
      </c>
      <c r="C73" s="21" t="s">
        <v>47</v>
      </c>
      <c r="D73" s="22">
        <v>6</v>
      </c>
      <c r="E73" s="512"/>
      <c r="F73" s="23">
        <f t="shared" si="6"/>
        <v>0</v>
      </c>
    </row>
    <row r="74" spans="1:7" ht="51">
      <c r="A74" s="85" t="s">
        <v>64</v>
      </c>
      <c r="B74" s="24" t="s">
        <v>21</v>
      </c>
      <c r="C74" s="21" t="s">
        <v>6</v>
      </c>
      <c r="D74" s="22">
        <v>8</v>
      </c>
      <c r="E74" s="512"/>
      <c r="F74" s="23">
        <f t="shared" si="6"/>
        <v>0</v>
      </c>
    </row>
    <row r="75" spans="1:7" s="150" customFormat="1" ht="51">
      <c r="A75" s="85" t="s">
        <v>65</v>
      </c>
      <c r="B75" s="24" t="s">
        <v>96</v>
      </c>
      <c r="C75" s="21" t="s">
        <v>6</v>
      </c>
      <c r="D75" s="22">
        <v>2</v>
      </c>
      <c r="E75" s="512"/>
      <c r="F75" s="23">
        <f>D75*E75</f>
        <v>0</v>
      </c>
      <c r="G75" s="58"/>
    </row>
    <row r="76" spans="1:7" s="150" customFormat="1" ht="51.75" thickBot="1">
      <c r="A76" s="85" t="s">
        <v>66</v>
      </c>
      <c r="B76" s="175" t="s">
        <v>195</v>
      </c>
      <c r="C76" s="21" t="s">
        <v>6</v>
      </c>
      <c r="D76" s="22">
        <v>1</v>
      </c>
      <c r="E76" s="512"/>
      <c r="F76" s="23">
        <f>D76*E76</f>
        <v>0</v>
      </c>
      <c r="G76" s="58"/>
    </row>
    <row r="77" spans="1:7" ht="15" thickBot="1">
      <c r="A77" s="119" t="s">
        <v>40</v>
      </c>
      <c r="B77" s="120" t="s">
        <v>10</v>
      </c>
      <c r="C77" s="56"/>
      <c r="D77" s="57"/>
      <c r="E77" s="79"/>
      <c r="F77" s="121">
        <f>SUM(F64:F76)</f>
        <v>0</v>
      </c>
      <c r="G77" s="9"/>
    </row>
    <row r="78" spans="1:7" ht="15" thickBot="1">
      <c r="G78" s="9"/>
    </row>
    <row r="79" spans="1:7" ht="15" thickBot="1">
      <c r="A79" s="169"/>
      <c r="B79" s="170" t="s">
        <v>169</v>
      </c>
      <c r="C79" s="171"/>
      <c r="D79" s="172"/>
      <c r="E79" s="173"/>
      <c r="F79" s="174">
        <f>F13+F44+F60+F77</f>
        <v>0</v>
      </c>
      <c r="G79" s="9"/>
    </row>
    <row r="81" spans="7:7">
      <c r="G81" s="9"/>
    </row>
  </sheetData>
  <sheetProtection algorithmName="SHA-512" hashValue="fMIUbXr/bSt45+dqb1ZeAjf1VRaNcPVCCsrHRlqkq5UP3EDe/A+YN1fjhhW9F2w7fYcQeKv5D1xMYhx/ljFrNw==" saltValue="JHKNW0TCc7VaKEG2HM9JW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rowBreaks count="1" manualBreakCount="1">
    <brk id="4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G68"/>
  <sheetViews>
    <sheetView view="pageBreakPreview" topLeftCell="A52" zoomScaleNormal="100" zoomScaleSheetLayoutView="100" workbookViewId="0">
      <selection activeCell="E56" activeCellId="7" sqref="E5:E10 E16 E17 E19:E20 E22:E37 E42:E43 E45:E51 E56:E63"/>
    </sheetView>
  </sheetViews>
  <sheetFormatPr defaultRowHeight="14.25"/>
  <cols>
    <col min="1" max="1" width="4.85546875" style="91" bestFit="1" customWidth="1"/>
    <col min="2" max="2" width="45.42578125" style="58" customWidth="1"/>
    <col min="3" max="3" width="6.5703125" style="59" bestFit="1" customWidth="1"/>
    <col min="4" max="4" width="8.7109375" style="60" customWidth="1"/>
    <col min="5" max="5" width="10.7109375" style="80" customWidth="1"/>
    <col min="6" max="6" width="12.7109375" style="80" customWidth="1"/>
    <col min="7" max="7" width="9.140625" style="12"/>
    <col min="8" max="16384" width="9.140625" style="9"/>
  </cols>
  <sheetData>
    <row r="1" spans="1:6" s="182" customFormat="1" ht="18">
      <c r="A1" s="193" t="s">
        <v>402</v>
      </c>
      <c r="B1" s="178" t="s">
        <v>164</v>
      </c>
      <c r="C1" s="179"/>
      <c r="D1" s="180"/>
      <c r="E1" s="181"/>
      <c r="F1" s="181"/>
    </row>
    <row r="2" spans="1:6" ht="15" thickBot="1"/>
    <row r="3" spans="1:6" ht="26.25" thickBot="1">
      <c r="A3" s="82" t="s">
        <v>0</v>
      </c>
      <c r="B3" s="10" t="s">
        <v>1</v>
      </c>
      <c r="C3" s="10" t="s">
        <v>2</v>
      </c>
      <c r="D3" s="11" t="s">
        <v>3</v>
      </c>
      <c r="E3" s="151" t="s">
        <v>4</v>
      </c>
      <c r="F3" s="61" t="s">
        <v>5</v>
      </c>
    </row>
    <row r="4" spans="1:6" ht="15" thickBot="1">
      <c r="A4" s="83"/>
      <c r="B4" s="13" t="s">
        <v>33</v>
      </c>
      <c r="C4" s="14"/>
      <c r="D4" s="15"/>
      <c r="E4" s="62"/>
      <c r="F4" s="63"/>
    </row>
    <row r="5" spans="1:6" ht="25.5">
      <c r="A5" s="194">
        <v>1</v>
      </c>
      <c r="B5" s="20" t="s">
        <v>46</v>
      </c>
      <c r="C5" s="21" t="s">
        <v>9</v>
      </c>
      <c r="D5" s="22">
        <v>150</v>
      </c>
      <c r="E5" s="512"/>
      <c r="F5" s="23">
        <f t="shared" ref="F5:F10" si="0">D5*E5</f>
        <v>0</v>
      </c>
    </row>
    <row r="6" spans="1:6" ht="25.5">
      <c r="A6" s="85" t="s">
        <v>55</v>
      </c>
      <c r="B6" s="24" t="s">
        <v>28</v>
      </c>
      <c r="C6" s="21" t="s">
        <v>6</v>
      </c>
      <c r="D6" s="22">
        <f>1+3+2</f>
        <v>6</v>
      </c>
      <c r="E6" s="512"/>
      <c r="F6" s="23">
        <f t="shared" si="0"/>
        <v>0</v>
      </c>
    </row>
    <row r="7" spans="1:6" ht="38.25">
      <c r="A7" s="85" t="s">
        <v>56</v>
      </c>
      <c r="B7" s="25" t="s">
        <v>120</v>
      </c>
      <c r="C7" s="21" t="s">
        <v>9</v>
      </c>
      <c r="D7" s="22">
        <v>20</v>
      </c>
      <c r="E7" s="512"/>
      <c r="F7" s="23">
        <f t="shared" si="0"/>
        <v>0</v>
      </c>
    </row>
    <row r="8" spans="1:6" ht="38.25">
      <c r="A8" s="84" t="s">
        <v>57</v>
      </c>
      <c r="B8" s="20" t="s">
        <v>53</v>
      </c>
      <c r="C8" s="26" t="s">
        <v>48</v>
      </c>
      <c r="D8" s="22">
        <v>225</v>
      </c>
      <c r="E8" s="512"/>
      <c r="F8" s="23">
        <f t="shared" si="0"/>
        <v>0</v>
      </c>
    </row>
    <row r="9" spans="1:6" ht="25.5">
      <c r="A9" s="85" t="s">
        <v>58</v>
      </c>
      <c r="B9" s="24" t="s">
        <v>167</v>
      </c>
      <c r="C9" s="21" t="s">
        <v>111</v>
      </c>
      <c r="D9" s="22">
        <v>5</v>
      </c>
      <c r="E9" s="512"/>
      <c r="F9" s="23">
        <f t="shared" ref="F9" si="1">D9*E9</f>
        <v>0</v>
      </c>
    </row>
    <row r="10" spans="1:6" ht="39" thickBot="1">
      <c r="A10" s="84" t="s">
        <v>59</v>
      </c>
      <c r="B10" s="20" t="s">
        <v>83</v>
      </c>
      <c r="C10" s="21" t="s">
        <v>47</v>
      </c>
      <c r="D10" s="22">
        <v>6</v>
      </c>
      <c r="E10" s="512"/>
      <c r="F10" s="23">
        <f t="shared" si="0"/>
        <v>0</v>
      </c>
    </row>
    <row r="11" spans="1:6" ht="15" thickBot="1">
      <c r="A11" s="116" t="s">
        <v>34</v>
      </c>
      <c r="B11" s="28" t="s">
        <v>12</v>
      </c>
      <c r="C11" s="29"/>
      <c r="D11" s="30"/>
      <c r="E11" s="65"/>
      <c r="F11" s="117">
        <f>SUM(F5:F10)</f>
        <v>0</v>
      </c>
    </row>
    <row r="12" spans="1:6" ht="15" thickBot="1">
      <c r="A12" s="86"/>
      <c r="B12" s="31"/>
      <c r="C12" s="32"/>
      <c r="D12" s="33"/>
      <c r="E12" s="66"/>
      <c r="F12" s="67"/>
    </row>
    <row r="13" spans="1:6" ht="15" thickBot="1">
      <c r="A13" s="87"/>
      <c r="B13" s="34" t="s">
        <v>35</v>
      </c>
      <c r="C13" s="35"/>
      <c r="D13" s="36"/>
      <c r="E13" s="68"/>
      <c r="F13" s="69"/>
    </row>
    <row r="14" spans="1:6" ht="51">
      <c r="A14" s="88"/>
      <c r="B14" s="37" t="s">
        <v>52</v>
      </c>
      <c r="C14" s="38"/>
      <c r="D14" s="39"/>
      <c r="E14" s="70"/>
      <c r="F14" s="71"/>
    </row>
    <row r="15" spans="1:6" ht="38.25">
      <c r="A15" s="84"/>
      <c r="B15" s="40" t="s">
        <v>25</v>
      </c>
      <c r="C15" s="21"/>
      <c r="D15" s="22"/>
      <c r="E15" s="27"/>
      <c r="F15" s="23"/>
    </row>
    <row r="16" spans="1:6" ht="25.5">
      <c r="A16" s="85" t="s">
        <v>54</v>
      </c>
      <c r="B16" s="135" t="s">
        <v>102</v>
      </c>
      <c r="C16" s="21" t="s">
        <v>47</v>
      </c>
      <c r="D16" s="22">
        <f>(180+200)*0.3</f>
        <v>114</v>
      </c>
      <c r="E16" s="512"/>
      <c r="F16" s="23">
        <f>D16*E16</f>
        <v>0</v>
      </c>
    </row>
    <row r="17" spans="1:6">
      <c r="A17" s="85" t="s">
        <v>55</v>
      </c>
      <c r="B17" s="20" t="s">
        <v>43</v>
      </c>
      <c r="C17" s="21" t="s">
        <v>47</v>
      </c>
      <c r="D17" s="22">
        <v>8</v>
      </c>
      <c r="E17" s="512"/>
      <c r="F17" s="23">
        <f>D17*E17</f>
        <v>0</v>
      </c>
    </row>
    <row r="18" spans="1:6" ht="51">
      <c r="A18" s="128" t="s">
        <v>56</v>
      </c>
      <c r="B18" s="145" t="s">
        <v>152</v>
      </c>
      <c r="C18" s="196"/>
      <c r="D18" s="197"/>
      <c r="E18" s="146"/>
      <c r="F18" s="147"/>
    </row>
    <row r="19" spans="1:6">
      <c r="A19" s="84"/>
      <c r="B19" s="198" t="s">
        <v>77</v>
      </c>
      <c r="C19" s="38" t="s">
        <v>47</v>
      </c>
      <c r="D19" s="39">
        <f>287.1*0.9</f>
        <v>258.39000000000004</v>
      </c>
      <c r="E19" s="515"/>
      <c r="F19" s="148">
        <f>D19*E19</f>
        <v>0</v>
      </c>
    </row>
    <row r="20" spans="1:6">
      <c r="A20" s="84"/>
      <c r="B20" s="198" t="s">
        <v>76</v>
      </c>
      <c r="C20" s="38" t="s">
        <v>47</v>
      </c>
      <c r="D20" s="39">
        <v>3.15</v>
      </c>
      <c r="E20" s="515"/>
      <c r="F20" s="148">
        <f>D20*E20</f>
        <v>0</v>
      </c>
    </row>
    <row r="21" spans="1:6" ht="38.25">
      <c r="A21" s="128" t="s">
        <v>57</v>
      </c>
      <c r="B21" s="145" t="s">
        <v>155</v>
      </c>
      <c r="C21" s="196"/>
      <c r="D21" s="197"/>
      <c r="E21" s="146"/>
      <c r="F21" s="147"/>
    </row>
    <row r="22" spans="1:6">
      <c r="A22" s="199"/>
      <c r="B22" s="200" t="s">
        <v>77</v>
      </c>
      <c r="C22" s="201" t="s">
        <v>47</v>
      </c>
      <c r="D22" s="202">
        <f>180*0.25</f>
        <v>45</v>
      </c>
      <c r="E22" s="516"/>
      <c r="F22" s="149">
        <f>D22*E22</f>
        <v>0</v>
      </c>
    </row>
    <row r="23" spans="1:6" ht="38.25">
      <c r="A23" s="85" t="s">
        <v>58</v>
      </c>
      <c r="B23" s="145" t="s">
        <v>79</v>
      </c>
      <c r="C23" s="21" t="s">
        <v>47</v>
      </c>
      <c r="D23" s="202">
        <f>287.1*0.1</f>
        <v>28.710000000000004</v>
      </c>
      <c r="E23" s="517"/>
      <c r="F23" s="41">
        <f>D23*E23</f>
        <v>0</v>
      </c>
    </row>
    <row r="24" spans="1:6" ht="38.25">
      <c r="A24" s="85" t="s">
        <v>59</v>
      </c>
      <c r="B24" s="176" t="s">
        <v>29</v>
      </c>
      <c r="C24" s="21" t="s">
        <v>48</v>
      </c>
      <c r="D24" s="22">
        <f>1.8*2*150</f>
        <v>540</v>
      </c>
      <c r="E24" s="518"/>
      <c r="F24" s="41">
        <f t="shared" ref="F24:F37" si="2">D24*E24</f>
        <v>0</v>
      </c>
    </row>
    <row r="25" spans="1:6" ht="63.75">
      <c r="A25" s="85" t="s">
        <v>60</v>
      </c>
      <c r="B25" s="20" t="s">
        <v>73</v>
      </c>
      <c r="C25" s="21" t="s">
        <v>6</v>
      </c>
      <c r="D25" s="22">
        <v>4</v>
      </c>
      <c r="E25" s="518"/>
      <c r="F25" s="41">
        <f t="shared" si="2"/>
        <v>0</v>
      </c>
    </row>
    <row r="26" spans="1:6" ht="25.5">
      <c r="A26" s="85" t="s">
        <v>61</v>
      </c>
      <c r="B26" s="176" t="s">
        <v>44</v>
      </c>
      <c r="C26" s="26" t="s">
        <v>48</v>
      </c>
      <c r="D26" s="22">
        <f>150*0.9</f>
        <v>135</v>
      </c>
      <c r="E26" s="512"/>
      <c r="F26" s="41">
        <f t="shared" si="2"/>
        <v>0</v>
      </c>
    </row>
    <row r="27" spans="1:6" ht="51">
      <c r="A27" s="85" t="s">
        <v>62</v>
      </c>
      <c r="B27" s="135" t="s">
        <v>85</v>
      </c>
      <c r="C27" s="21" t="s">
        <v>47</v>
      </c>
      <c r="D27" s="22">
        <f>25.55*1.1</f>
        <v>28.105000000000004</v>
      </c>
      <c r="E27" s="512"/>
      <c r="F27" s="41">
        <f t="shared" si="2"/>
        <v>0</v>
      </c>
    </row>
    <row r="28" spans="1:6" ht="51">
      <c r="A28" s="85" t="s">
        <v>63</v>
      </c>
      <c r="B28" s="135" t="s">
        <v>86</v>
      </c>
      <c r="C28" s="21" t="s">
        <v>47</v>
      </c>
      <c r="D28" s="22">
        <f>50.93*1.1</f>
        <v>56.023000000000003</v>
      </c>
      <c r="E28" s="512"/>
      <c r="F28" s="41">
        <f t="shared" si="2"/>
        <v>0</v>
      </c>
    </row>
    <row r="29" spans="1:6" ht="89.25">
      <c r="A29" s="85" t="s">
        <v>64</v>
      </c>
      <c r="B29" s="176" t="s">
        <v>153</v>
      </c>
      <c r="C29" s="21" t="s">
        <v>47</v>
      </c>
      <c r="D29" s="22">
        <v>180.27</v>
      </c>
      <c r="E29" s="512"/>
      <c r="F29" s="41">
        <f t="shared" si="2"/>
        <v>0</v>
      </c>
    </row>
    <row r="30" spans="1:6" ht="38.25">
      <c r="A30" s="85" t="s">
        <v>65</v>
      </c>
      <c r="B30" s="140" t="s">
        <v>87</v>
      </c>
      <c r="C30" s="21" t="s">
        <v>47</v>
      </c>
      <c r="D30" s="22">
        <f>180*0.3</f>
        <v>54</v>
      </c>
      <c r="E30" s="512"/>
      <c r="F30" s="41">
        <f t="shared" si="2"/>
        <v>0</v>
      </c>
    </row>
    <row r="31" spans="1:6" ht="38.25">
      <c r="A31" s="85" t="s">
        <v>66</v>
      </c>
      <c r="B31" s="140" t="s">
        <v>101</v>
      </c>
      <c r="C31" s="21" t="s">
        <v>47</v>
      </c>
      <c r="D31" s="22">
        <f>180*0.25</f>
        <v>45</v>
      </c>
      <c r="E31" s="512"/>
      <c r="F31" s="41">
        <f t="shared" si="2"/>
        <v>0</v>
      </c>
    </row>
    <row r="32" spans="1:6" ht="38.25">
      <c r="A32" s="85" t="s">
        <v>67</v>
      </c>
      <c r="B32" s="140" t="s">
        <v>162</v>
      </c>
      <c r="C32" s="21" t="s">
        <v>47</v>
      </c>
      <c r="D32" s="22">
        <f>200*0.45</f>
        <v>90</v>
      </c>
      <c r="E32" s="512"/>
      <c r="F32" s="41">
        <f t="shared" si="2"/>
        <v>0</v>
      </c>
    </row>
    <row r="33" spans="1:7">
      <c r="A33" s="85" t="s">
        <v>68</v>
      </c>
      <c r="B33" s="42" t="s">
        <v>154</v>
      </c>
      <c r="C33" s="21" t="s">
        <v>9</v>
      </c>
      <c r="D33" s="22">
        <v>80</v>
      </c>
      <c r="E33" s="512"/>
      <c r="F33" s="41">
        <f t="shared" si="2"/>
        <v>0</v>
      </c>
    </row>
    <row r="34" spans="1:7" ht="25.5">
      <c r="A34" s="85" t="s">
        <v>69</v>
      </c>
      <c r="B34" s="42" t="s">
        <v>45</v>
      </c>
      <c r="C34" s="21" t="s">
        <v>9</v>
      </c>
      <c r="D34" s="22">
        <v>150</v>
      </c>
      <c r="E34" s="512"/>
      <c r="F34" s="41">
        <f t="shared" si="2"/>
        <v>0</v>
      </c>
    </row>
    <row r="35" spans="1:7" ht="38.25">
      <c r="A35" s="85" t="s">
        <v>70</v>
      </c>
      <c r="B35" s="42" t="s">
        <v>166</v>
      </c>
      <c r="C35" s="21" t="s">
        <v>47</v>
      </c>
      <c r="D35" s="22">
        <f>((D8*0.1)+D16+D17+D19+D22+D20-D29)*1.25</f>
        <v>338.46249999999998</v>
      </c>
      <c r="E35" s="512"/>
      <c r="F35" s="41">
        <f t="shared" si="2"/>
        <v>0</v>
      </c>
    </row>
    <row r="36" spans="1:7" ht="25.5">
      <c r="A36" s="85" t="s">
        <v>71</v>
      </c>
      <c r="B36" s="20" t="s">
        <v>23</v>
      </c>
      <c r="C36" s="26" t="s">
        <v>48</v>
      </c>
      <c r="D36" s="22">
        <v>180</v>
      </c>
      <c r="E36" s="512"/>
      <c r="F36" s="41">
        <f t="shared" si="2"/>
        <v>0</v>
      </c>
    </row>
    <row r="37" spans="1:7" s="191" customFormat="1" ht="15" thickBot="1">
      <c r="A37" s="85" t="s">
        <v>80</v>
      </c>
      <c r="B37" s="176" t="s">
        <v>117</v>
      </c>
      <c r="C37" s="26" t="s">
        <v>48</v>
      </c>
      <c r="D37" s="22">
        <f>D36*1.1</f>
        <v>198.00000000000003</v>
      </c>
      <c r="E37" s="512"/>
      <c r="F37" s="41">
        <f t="shared" si="2"/>
        <v>0</v>
      </c>
      <c r="G37" s="12"/>
    </row>
    <row r="38" spans="1:7" ht="15" thickBot="1">
      <c r="A38" s="125" t="s">
        <v>403</v>
      </c>
      <c r="B38" s="126" t="s">
        <v>11</v>
      </c>
      <c r="C38" s="44"/>
      <c r="D38" s="45"/>
      <c r="E38" s="72"/>
      <c r="F38" s="127">
        <f>SUM(F16:F37)</f>
        <v>0</v>
      </c>
      <c r="G38" s="9"/>
    </row>
    <row r="39" spans="1:7" ht="15" thickBot="1">
      <c r="A39" s="86"/>
      <c r="B39" s="203"/>
      <c r="C39" s="204"/>
      <c r="D39" s="205"/>
      <c r="E39" s="73"/>
      <c r="F39" s="66"/>
      <c r="G39" s="9"/>
    </row>
    <row r="40" spans="1:7" ht="15" thickBot="1">
      <c r="A40" s="90"/>
      <c r="B40" s="46" t="s">
        <v>37</v>
      </c>
      <c r="C40" s="47"/>
      <c r="D40" s="48"/>
      <c r="E40" s="74"/>
      <c r="F40" s="75"/>
      <c r="G40" s="9"/>
    </row>
    <row r="41" spans="1:7" ht="63.75">
      <c r="A41" s="88"/>
      <c r="B41" s="49" t="s">
        <v>24</v>
      </c>
      <c r="C41" s="17"/>
      <c r="D41" s="18"/>
      <c r="E41" s="64"/>
      <c r="F41" s="19"/>
      <c r="G41" s="9"/>
    </row>
    <row r="42" spans="1:7" ht="76.5">
      <c r="A42" s="89">
        <v>1</v>
      </c>
      <c r="B42" s="42" t="s">
        <v>98</v>
      </c>
      <c r="C42" s="21" t="s">
        <v>9</v>
      </c>
      <c r="D42" s="22">
        <v>155</v>
      </c>
      <c r="E42" s="519"/>
      <c r="F42" s="43">
        <f t="shared" ref="F42:F43" si="3">D42*E42</f>
        <v>0</v>
      </c>
      <c r="G42" s="9"/>
    </row>
    <row r="43" spans="1:7">
      <c r="A43" s="133"/>
      <c r="B43" s="207" t="s">
        <v>136</v>
      </c>
      <c r="C43" s="201" t="s">
        <v>6</v>
      </c>
      <c r="D43" s="22">
        <v>2</v>
      </c>
      <c r="E43" s="519"/>
      <c r="F43" s="43">
        <f t="shared" si="3"/>
        <v>0</v>
      </c>
      <c r="G43" s="9"/>
    </row>
    <row r="44" spans="1:7" ht="191.25">
      <c r="A44" s="129" t="s">
        <v>55</v>
      </c>
      <c r="B44" s="208" t="s">
        <v>100</v>
      </c>
      <c r="C44" s="196"/>
      <c r="D44" s="197"/>
      <c r="E44" s="209"/>
      <c r="F44" s="130"/>
      <c r="G44" s="9"/>
    </row>
    <row r="45" spans="1:7">
      <c r="A45" s="133"/>
      <c r="B45" s="207" t="s">
        <v>30</v>
      </c>
      <c r="C45" s="201" t="s">
        <v>6</v>
      </c>
      <c r="D45" s="202">
        <v>3</v>
      </c>
      <c r="E45" s="520"/>
      <c r="F45" s="134">
        <f t="shared" ref="F45:F51" si="4">D45*E45</f>
        <v>0</v>
      </c>
      <c r="G45" s="9"/>
    </row>
    <row r="46" spans="1:7" ht="51">
      <c r="A46" s="89" t="s">
        <v>56</v>
      </c>
      <c r="B46" s="42" t="s">
        <v>109</v>
      </c>
      <c r="C46" s="21" t="s">
        <v>6</v>
      </c>
      <c r="D46" s="22">
        <v>1</v>
      </c>
      <c r="E46" s="512"/>
      <c r="F46" s="43">
        <f t="shared" si="4"/>
        <v>0</v>
      </c>
      <c r="G46" s="9"/>
    </row>
    <row r="47" spans="1:7" ht="102">
      <c r="A47" s="89" t="s">
        <v>57</v>
      </c>
      <c r="B47" s="176" t="s">
        <v>89</v>
      </c>
      <c r="C47" s="21" t="s">
        <v>6</v>
      </c>
      <c r="D47" s="22">
        <v>2</v>
      </c>
      <c r="E47" s="518"/>
      <c r="F47" s="43">
        <f t="shared" si="4"/>
        <v>0</v>
      </c>
      <c r="G47" s="9"/>
    </row>
    <row r="48" spans="1:7" ht="51">
      <c r="A48" s="89" t="s">
        <v>58</v>
      </c>
      <c r="B48" s="20" t="s">
        <v>90</v>
      </c>
      <c r="C48" s="21" t="s">
        <v>6</v>
      </c>
      <c r="D48" s="22">
        <v>2</v>
      </c>
      <c r="E48" s="518"/>
      <c r="F48" s="43">
        <f t="shared" si="4"/>
        <v>0</v>
      </c>
      <c r="G48" s="9"/>
    </row>
    <row r="49" spans="1:7" ht="38.25">
      <c r="A49" s="89" t="s">
        <v>59</v>
      </c>
      <c r="B49" s="142" t="s">
        <v>91</v>
      </c>
      <c r="C49" s="21" t="s">
        <v>6</v>
      </c>
      <c r="D49" s="143">
        <v>2</v>
      </c>
      <c r="E49" s="513"/>
      <c r="F49" s="43">
        <f t="shared" si="4"/>
        <v>0</v>
      </c>
    </row>
    <row r="50" spans="1:7" ht="89.25">
      <c r="A50" s="89" t="s">
        <v>60</v>
      </c>
      <c r="B50" s="176" t="s">
        <v>81</v>
      </c>
      <c r="C50" s="21" t="s">
        <v>9</v>
      </c>
      <c r="D50" s="22">
        <f>2*8</f>
        <v>16</v>
      </c>
      <c r="E50" s="518"/>
      <c r="F50" s="43">
        <f t="shared" si="4"/>
        <v>0</v>
      </c>
    </row>
    <row r="51" spans="1:7" ht="15" thickBot="1">
      <c r="A51" s="131"/>
      <c r="B51" s="210" t="s">
        <v>115</v>
      </c>
      <c r="C51" s="38" t="s">
        <v>6</v>
      </c>
      <c r="D51" s="39">
        <v>2</v>
      </c>
      <c r="E51" s="522"/>
      <c r="F51" s="132">
        <f t="shared" si="4"/>
        <v>0</v>
      </c>
    </row>
    <row r="52" spans="1:7" ht="15" thickBot="1">
      <c r="A52" s="122" t="s">
        <v>38</v>
      </c>
      <c r="B52" s="124" t="s">
        <v>26</v>
      </c>
      <c r="C52" s="50"/>
      <c r="D52" s="51"/>
      <c r="E52" s="76"/>
      <c r="F52" s="123">
        <f>SUM(F42:F51)</f>
        <v>0</v>
      </c>
    </row>
    <row r="53" spans="1:7" ht="15" thickBot="1">
      <c r="A53" s="86"/>
      <c r="B53" s="31"/>
      <c r="C53" s="32"/>
      <c r="D53" s="33"/>
      <c r="E53" s="66"/>
      <c r="F53" s="66"/>
    </row>
    <row r="54" spans="1:7" ht="15" thickBot="1">
      <c r="A54" s="87"/>
      <c r="B54" s="52" t="s">
        <v>39</v>
      </c>
      <c r="C54" s="53"/>
      <c r="D54" s="54"/>
      <c r="E54" s="77"/>
      <c r="F54" s="78"/>
    </row>
    <row r="55" spans="1:7" ht="63.75">
      <c r="A55" s="84"/>
      <c r="B55" s="37" t="s">
        <v>8</v>
      </c>
      <c r="C55" s="38"/>
      <c r="D55" s="39"/>
      <c r="E55" s="70"/>
      <c r="F55" s="71"/>
    </row>
    <row r="56" spans="1:7" ht="25.5">
      <c r="A56" s="85" t="s">
        <v>54</v>
      </c>
      <c r="B56" s="55" t="s">
        <v>42</v>
      </c>
      <c r="C56" s="26" t="s">
        <v>9</v>
      </c>
      <c r="D56" s="81">
        <v>150</v>
      </c>
      <c r="E56" s="524"/>
      <c r="F56" s="23">
        <f t="shared" ref="F56:F62" si="5">D56*E56</f>
        <v>0</v>
      </c>
    </row>
    <row r="57" spans="1:7" ht="25.5">
      <c r="A57" s="85" t="s">
        <v>55</v>
      </c>
      <c r="B57" s="55" t="s">
        <v>104</v>
      </c>
      <c r="C57" s="26" t="s">
        <v>9</v>
      </c>
      <c r="D57" s="81">
        <v>150</v>
      </c>
      <c r="E57" s="524"/>
      <c r="F57" s="23">
        <f>D57*E57</f>
        <v>0</v>
      </c>
    </row>
    <row r="58" spans="1:7">
      <c r="A58" s="85" t="s">
        <v>56</v>
      </c>
      <c r="B58" s="55" t="s">
        <v>105</v>
      </c>
      <c r="C58" s="26" t="s">
        <v>9</v>
      </c>
      <c r="D58" s="81">
        <v>150</v>
      </c>
      <c r="E58" s="524"/>
      <c r="F58" s="23">
        <f>D58*E58</f>
        <v>0</v>
      </c>
    </row>
    <row r="59" spans="1:7" ht="25.5">
      <c r="A59" s="85" t="s">
        <v>57</v>
      </c>
      <c r="B59" s="184" t="s">
        <v>118</v>
      </c>
      <c r="C59" s="21" t="s">
        <v>48</v>
      </c>
      <c r="D59" s="22">
        <v>125</v>
      </c>
      <c r="E59" s="525"/>
      <c r="F59" s="23">
        <f>D59*E59</f>
        <v>0</v>
      </c>
    </row>
    <row r="60" spans="1:7" ht="25.5">
      <c r="A60" s="89" t="s">
        <v>58</v>
      </c>
      <c r="B60" s="141" t="s">
        <v>119</v>
      </c>
      <c r="C60" s="21" t="s">
        <v>48</v>
      </c>
      <c r="D60" s="22">
        <v>125</v>
      </c>
      <c r="E60" s="525"/>
      <c r="F60" s="23">
        <f t="shared" si="5"/>
        <v>0</v>
      </c>
    </row>
    <row r="61" spans="1:7" ht="25.5">
      <c r="A61" s="85" t="s">
        <v>59</v>
      </c>
      <c r="B61" s="24" t="s">
        <v>94</v>
      </c>
      <c r="C61" s="21" t="s">
        <v>47</v>
      </c>
      <c r="D61" s="22">
        <v>6</v>
      </c>
      <c r="E61" s="512"/>
      <c r="F61" s="23">
        <f t="shared" si="5"/>
        <v>0</v>
      </c>
    </row>
    <row r="62" spans="1:7" ht="51">
      <c r="A62" s="85" t="s">
        <v>60</v>
      </c>
      <c r="B62" s="24" t="s">
        <v>21</v>
      </c>
      <c r="C62" s="21" t="s">
        <v>6</v>
      </c>
      <c r="D62" s="22">
        <v>2</v>
      </c>
      <c r="E62" s="512"/>
      <c r="F62" s="23">
        <f t="shared" si="5"/>
        <v>0</v>
      </c>
    </row>
    <row r="63" spans="1:7" s="150" customFormat="1" ht="51.75" thickBot="1">
      <c r="A63" s="85" t="s">
        <v>61</v>
      </c>
      <c r="B63" s="24" t="s">
        <v>96</v>
      </c>
      <c r="C63" s="21" t="s">
        <v>6</v>
      </c>
      <c r="D63" s="22">
        <v>2</v>
      </c>
      <c r="E63" s="512"/>
      <c r="F63" s="23">
        <f>D63*E63</f>
        <v>0</v>
      </c>
      <c r="G63" s="58"/>
    </row>
    <row r="64" spans="1:7" ht="15" thickBot="1">
      <c r="A64" s="119" t="s">
        <v>40</v>
      </c>
      <c r="B64" s="120" t="s">
        <v>10</v>
      </c>
      <c r="C64" s="56"/>
      <c r="D64" s="57"/>
      <c r="E64" s="79"/>
      <c r="F64" s="121">
        <f>SUM(F56:F63)</f>
        <v>0</v>
      </c>
      <c r="G64" s="9"/>
    </row>
    <row r="65" spans="1:7" ht="15" thickBot="1">
      <c r="G65" s="9"/>
    </row>
    <row r="66" spans="1:7" ht="15" thickBot="1">
      <c r="A66" s="169"/>
      <c r="B66" s="170" t="s">
        <v>165</v>
      </c>
      <c r="C66" s="171"/>
      <c r="D66" s="172"/>
      <c r="E66" s="173"/>
      <c r="F66" s="174">
        <f>F11+F38+F52+F64</f>
        <v>0</v>
      </c>
      <c r="G66" s="9"/>
    </row>
    <row r="68" spans="1:7">
      <c r="G68" s="9"/>
    </row>
  </sheetData>
  <sheetProtection algorithmName="SHA-512" hashValue="dkh5xOmoIgXVPuKLPcWNf9PAxEAjUWtFZUsQeUpEz2YX5jZCQZjxaR68GfpVC9q9SH4C7iUhQ3O/GIGC+MbNFg==" saltValue="SCLTRONUwSjYr6pTEHMZ/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 56/2016</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22</vt:i4>
      </vt:variant>
      <vt:variant>
        <vt:lpstr>Imenovani obsegi</vt:lpstr>
      </vt:variant>
      <vt:variant>
        <vt:i4>31</vt:i4>
      </vt:variant>
    </vt:vector>
  </HeadingPairs>
  <TitlesOfParts>
    <vt:vector size="53" baseType="lpstr">
      <vt:lpstr>REKAPITULACIJA</vt:lpstr>
      <vt:lpstr>PRIPRAVLJALNA DELA</vt:lpstr>
      <vt:lpstr>ŠTORE 01-1</vt:lpstr>
      <vt:lpstr>ŠTORE 01-1.1</vt:lpstr>
      <vt:lpstr>ŠTORE 01-1.2</vt:lpstr>
      <vt:lpstr>ŠTORE 01-1.3</vt:lpstr>
      <vt:lpstr>ŠTORE 01-1.4</vt:lpstr>
      <vt:lpstr>ŠTORE 01-2</vt:lpstr>
      <vt:lpstr>ŠTORE 01-2.1</vt:lpstr>
      <vt:lpstr>ŠTORE 01-2.1.1</vt:lpstr>
      <vt:lpstr>ŠTORE 01-3</vt:lpstr>
      <vt:lpstr>ŠTORE 01-3.1</vt:lpstr>
      <vt:lpstr>ŠTORE 01-3.2</vt:lpstr>
      <vt:lpstr>ŠTORE 01-3.3</vt:lpstr>
      <vt:lpstr>ŠTORE 01-T2</vt:lpstr>
      <vt:lpstr>Č1</vt:lpstr>
      <vt:lpstr>Č2</vt:lpstr>
      <vt:lpstr>Č1 NN priključek</vt:lpstr>
      <vt:lpstr>Č1 elektrooprema</vt:lpstr>
      <vt:lpstr>Č2 NN priključek</vt:lpstr>
      <vt:lpstr>Č2 elekrooprema</vt:lpstr>
      <vt:lpstr>ZAKLJUCNA DELA</vt:lpstr>
      <vt:lpstr>Č1!Področje_tiskanja</vt:lpstr>
      <vt:lpstr>Č2!Področje_tiskanja</vt:lpstr>
      <vt:lpstr>'ŠTORE 01-1'!Področje_tiskanja</vt:lpstr>
      <vt:lpstr>'ŠTORE 01-1.1'!Področje_tiskanja</vt:lpstr>
      <vt:lpstr>'ŠTORE 01-1.2'!Področje_tiskanja</vt:lpstr>
      <vt:lpstr>'ŠTORE 01-1.3'!Področje_tiskanja</vt:lpstr>
      <vt:lpstr>'ŠTORE 01-1.4'!Področje_tiskanja</vt:lpstr>
      <vt:lpstr>'ŠTORE 01-2'!Področje_tiskanja</vt:lpstr>
      <vt:lpstr>'ŠTORE 01-2.1'!Področje_tiskanja</vt:lpstr>
      <vt:lpstr>'ŠTORE 01-2.1.1'!Področje_tiskanja</vt:lpstr>
      <vt:lpstr>'ŠTORE 01-3'!Področje_tiskanja</vt:lpstr>
      <vt:lpstr>'ŠTORE 01-3.1'!Področje_tiskanja</vt:lpstr>
      <vt:lpstr>'ŠTORE 01-3.2'!Področje_tiskanja</vt:lpstr>
      <vt:lpstr>'ŠTORE 01-3.3'!Področje_tiskanja</vt:lpstr>
      <vt:lpstr>Č1!Tiskanje_naslovov</vt:lpstr>
      <vt:lpstr>'Č1 elektrooprema'!Tiskanje_naslovov</vt:lpstr>
      <vt:lpstr>'Č1 NN priključek'!Tiskanje_naslovov</vt:lpstr>
      <vt:lpstr>Č2!Tiskanje_naslovov</vt:lpstr>
      <vt:lpstr>'Č2 elekrooprema'!Tiskanje_naslovov</vt:lpstr>
      <vt:lpstr>'Č2 NN priključek'!Tiskanje_naslovov</vt:lpstr>
      <vt:lpstr>'ŠTORE 01-1'!Tiskanje_naslovov</vt:lpstr>
      <vt:lpstr>'ŠTORE 01-1.1'!Tiskanje_naslovov</vt:lpstr>
      <vt:lpstr>'ŠTORE 01-1.2'!Tiskanje_naslovov</vt:lpstr>
      <vt:lpstr>'ŠTORE 01-1.3'!Tiskanje_naslovov</vt:lpstr>
      <vt:lpstr>'ŠTORE 01-1.4'!Tiskanje_naslovov</vt:lpstr>
      <vt:lpstr>'ŠTORE 01-2'!Tiskanje_naslovov</vt:lpstr>
      <vt:lpstr>'ŠTORE 01-2.1'!Tiskanje_naslovov</vt:lpstr>
      <vt:lpstr>'ŠTORE 01-3.1'!Tiskanje_naslovov</vt:lpstr>
      <vt:lpstr>'ŠTORE 01-3.2'!Tiskanje_naslovov</vt:lpstr>
      <vt:lpstr>'ŠTORE 01-3.3'!Tiskanje_naslovov</vt:lpstr>
      <vt:lpstr>'ŠTORE 01-T2'!Tiskanje_naslovov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Primož Kroflič</cp:lastModifiedBy>
  <cp:lastPrinted>2020-03-05T13:20:12Z</cp:lastPrinted>
  <dcterms:created xsi:type="dcterms:W3CDTF">1997-01-31T12:20:41Z</dcterms:created>
  <dcterms:modified xsi:type="dcterms:W3CDTF">2020-09-15T11:19:05Z</dcterms:modified>
</cp:coreProperties>
</file>