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I:\Users\Grupe\Razvoj\ORP Osrednje Celjsko\21A_OČKOV MOC Štore Vojnik_jn izvedba\3a_Predračuni - popisi\SKUPAJ ZBRANI POPISI ZA RAZPIS AGLOM CELJE\Popravki 14092020\"/>
    </mc:Choice>
  </mc:AlternateContent>
  <xr:revisionPtr revIDLastSave="0" documentId="13_ncr:1_{D5843F0A-94AA-4A07-BD52-F263F5FACAF6}" xr6:coauthVersionLast="45" xr6:coauthVersionMax="45" xr10:uidLastSave="{00000000-0000-0000-0000-000000000000}"/>
  <bookViews>
    <workbookView xWindow="-120" yWindow="-120" windowWidth="29040" windowHeight="15840" tabRatio="819" activeTab="7" xr2:uid="{00000000-000D-0000-FFFF-FFFF00000000}"/>
  </bookViews>
  <sheets>
    <sheet name="REKAPITULACIJA" sheetId="1" r:id="rId1"/>
    <sheet name="PRIPRAVLJALNA DELA" sheetId="5" r:id="rId2"/>
    <sheet name="ŠTORE 04-1" sheetId="36" r:id="rId3"/>
    <sheet name="ŠTORE 04-1.1" sheetId="37" r:id="rId4"/>
    <sheet name="ŠTORE 04-2" sheetId="35" r:id="rId5"/>
    <sheet name="ŠTORE 04-2.1" sheetId="38" r:id="rId6"/>
    <sheet name="ŠTORE TL.04-T1" sheetId="31" r:id="rId7"/>
    <sheet name="Črpališče Č4" sheetId="32" r:id="rId8"/>
    <sheet name="Črpališče elektro oprema Č4" sheetId="33" r:id="rId9"/>
    <sheet name="Črpališče-NN prikljucek Č4" sheetId="34" r:id="rId10"/>
    <sheet name="ZAKLJUCNA DELA" sheetId="6" r:id="rId11"/>
  </sheets>
  <definedNames>
    <definedName name="_xlnm.Print_Area" localSheetId="0">REKAPITULACIJA!$A$1:$F$29</definedName>
    <definedName name="_xlnm.Print_Area" localSheetId="4">'ŠTORE 04-2'!$A$1:$F$84</definedName>
    <definedName name="_xlnm.Print_Area" localSheetId="6">'ŠTORE TL.04-T1'!$A$1:$F$58</definedName>
    <definedName name="_xlnm.Print_Titles" localSheetId="7">'Črpališče Č4'!$1:$1</definedName>
    <definedName name="_xlnm.Print_Titles" localSheetId="2">'ŠTORE 04-1'!$3:$3</definedName>
    <definedName name="_xlnm.Print_Titles" localSheetId="3">'ŠTORE 04-1.1'!$3:$3</definedName>
    <definedName name="_xlnm.Print_Titles" localSheetId="4">'ŠTORE 04-2'!$3:$3</definedName>
    <definedName name="_xlnm.Print_Titles" localSheetId="5">'ŠTORE 04-2.1'!$3:$3</definedName>
    <definedName name="_xlnm.Print_Titles" localSheetId="6">'ŠTORE TL.04-T1'!$3:$3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2" i="32" l="1"/>
  <c r="F34" i="31"/>
  <c r="F108" i="32" l="1"/>
  <c r="D42" i="35" l="1"/>
  <c r="F42" i="35" s="1"/>
  <c r="D38" i="36"/>
  <c r="F38" i="36" s="1"/>
  <c r="D5" i="6" l="1"/>
  <c r="D28" i="31"/>
  <c r="D13" i="31"/>
  <c r="F78" i="35"/>
  <c r="D31" i="35"/>
  <c r="D26" i="35"/>
  <c r="D23" i="35"/>
  <c r="F11" i="35"/>
  <c r="D51" i="38"/>
  <c r="F51" i="38" s="1"/>
  <c r="F43" i="38"/>
  <c r="D36" i="38"/>
  <c r="F36" i="38" s="1"/>
  <c r="D32" i="38"/>
  <c r="D31" i="38"/>
  <c r="F31" i="38" s="1"/>
  <c r="D29" i="38"/>
  <c r="F29" i="38" s="1"/>
  <c r="D28" i="38"/>
  <c r="F28" i="38" s="1"/>
  <c r="D27" i="38"/>
  <c r="F27" i="38" s="1"/>
  <c r="D25" i="38"/>
  <c r="F25" i="38" s="1"/>
  <c r="D24" i="38"/>
  <c r="F24" i="38" s="1"/>
  <c r="D23" i="38"/>
  <c r="D21" i="38"/>
  <c r="F21" i="38" s="1"/>
  <c r="D18" i="38"/>
  <c r="D17" i="38"/>
  <c r="D37" i="38" s="1"/>
  <c r="D6" i="38"/>
  <c r="F6" i="38" s="1"/>
  <c r="F65" i="38"/>
  <c r="F64" i="38"/>
  <c r="F63" i="38"/>
  <c r="F62" i="38"/>
  <c r="D61" i="38"/>
  <c r="F61" i="38" s="1"/>
  <c r="F60" i="38"/>
  <c r="D59" i="38"/>
  <c r="F59" i="38" s="1"/>
  <c r="D58" i="38"/>
  <c r="F58" i="38" s="1"/>
  <c r="F57" i="38"/>
  <c r="F52" i="38"/>
  <c r="F50" i="38"/>
  <c r="F49" i="38"/>
  <c r="F48" i="38"/>
  <c r="F47" i="38"/>
  <c r="F46" i="38"/>
  <c r="F44" i="38"/>
  <c r="F35" i="38"/>
  <c r="F33" i="38"/>
  <c r="F32" i="38"/>
  <c r="F30" i="38"/>
  <c r="F26" i="38"/>
  <c r="F19" i="38"/>
  <c r="F10" i="38"/>
  <c r="F9" i="38"/>
  <c r="F8" i="38"/>
  <c r="F7" i="38"/>
  <c r="F5" i="38"/>
  <c r="F53" i="38" l="1"/>
  <c r="D34" i="38"/>
  <c r="F34" i="38" s="1"/>
  <c r="F23" i="38"/>
  <c r="F66" i="38"/>
  <c r="F12" i="38"/>
  <c r="D38" i="38"/>
  <c r="F38" i="38" s="1"/>
  <c r="F37" i="38"/>
  <c r="F17" i="38"/>
  <c r="F18" i="38"/>
  <c r="F39" i="38" l="1"/>
  <c r="F68" i="38" s="1"/>
  <c r="F10" i="1" s="1"/>
  <c r="D28" i="37" l="1"/>
  <c r="F56" i="37"/>
  <c r="D25" i="37"/>
  <c r="F25" i="37" s="1"/>
  <c r="D24" i="37"/>
  <c r="F24" i="37" s="1"/>
  <c r="D23" i="37"/>
  <c r="F23" i="37" s="1"/>
  <c r="D21" i="37"/>
  <c r="F21" i="37" s="1"/>
  <c r="D16" i="37"/>
  <c r="F16" i="37" s="1"/>
  <c r="D6" i="37"/>
  <c r="F6" i="37" s="1"/>
  <c r="F8" i="37"/>
  <c r="F9" i="37"/>
  <c r="F55" i="37"/>
  <c r="F54" i="37"/>
  <c r="F53" i="37"/>
  <c r="D52" i="37"/>
  <c r="F52" i="37" s="1"/>
  <c r="D51" i="37"/>
  <c r="F51" i="37" s="1"/>
  <c r="F50" i="37"/>
  <c r="F57" i="37" s="1"/>
  <c r="F45" i="37"/>
  <c r="F44" i="37"/>
  <c r="F43" i="37"/>
  <c r="F42" i="37"/>
  <c r="F41" i="37"/>
  <c r="F40" i="37"/>
  <c r="F39" i="37"/>
  <c r="F38" i="37"/>
  <c r="F36" i="37"/>
  <c r="F35" i="37"/>
  <c r="F27" i="37"/>
  <c r="F26" i="37"/>
  <c r="F22" i="37"/>
  <c r="F20" i="37"/>
  <c r="F19" i="37"/>
  <c r="F17" i="37"/>
  <c r="F7" i="37"/>
  <c r="F5" i="37"/>
  <c r="D6" i="36"/>
  <c r="D8" i="36"/>
  <c r="D11" i="36"/>
  <c r="D20" i="36"/>
  <c r="D44" i="36" s="1"/>
  <c r="D45" i="36" s="1"/>
  <c r="D21" i="36"/>
  <c r="D24" i="36"/>
  <c r="D27" i="36"/>
  <c r="D28" i="36"/>
  <c r="D29" i="36"/>
  <c r="D30" i="36"/>
  <c r="D31" i="36"/>
  <c r="D32" i="36"/>
  <c r="D33" i="36"/>
  <c r="D35" i="36"/>
  <c r="D36" i="36"/>
  <c r="D37" i="36"/>
  <c r="D43" i="36"/>
  <c r="D52" i="36"/>
  <c r="D65" i="36"/>
  <c r="F43" i="35"/>
  <c r="F79" i="36"/>
  <c r="F78" i="36"/>
  <c r="F77" i="36"/>
  <c r="D73" i="36"/>
  <c r="D72" i="36"/>
  <c r="F60" i="36"/>
  <c r="F11" i="37" l="1"/>
  <c r="F28" i="37"/>
  <c r="F46" i="37"/>
  <c r="D29" i="37"/>
  <c r="F55" i="36"/>
  <c r="F39" i="36"/>
  <c r="F25" i="36"/>
  <c r="F13" i="36"/>
  <c r="F11" i="36"/>
  <c r="F10" i="36"/>
  <c r="F12" i="36"/>
  <c r="D30" i="37" l="1"/>
  <c r="F30" i="37" s="1"/>
  <c r="F29" i="37"/>
  <c r="D40" i="36"/>
  <c r="F31" i="37" l="1"/>
  <c r="F59" i="37" s="1"/>
  <c r="F8" i="1" s="1"/>
  <c r="F9" i="36" l="1"/>
  <c r="F7" i="36"/>
  <c r="F6" i="36"/>
  <c r="F82" i="36"/>
  <c r="F81" i="36"/>
  <c r="F80" i="36"/>
  <c r="F76" i="36"/>
  <c r="D75" i="36"/>
  <c r="F75" i="36" s="1"/>
  <c r="F74" i="36"/>
  <c r="F73" i="36"/>
  <c r="F72" i="36"/>
  <c r="F71" i="36"/>
  <c r="F66" i="36"/>
  <c r="F65" i="36"/>
  <c r="F64" i="36"/>
  <c r="F63" i="36"/>
  <c r="F62" i="36"/>
  <c r="F61" i="36"/>
  <c r="F54" i="36"/>
  <c r="F52" i="36"/>
  <c r="F51" i="36"/>
  <c r="F50" i="36"/>
  <c r="F43" i="36"/>
  <c r="F42" i="36"/>
  <c r="F41" i="36"/>
  <c r="F37" i="36"/>
  <c r="F36" i="36"/>
  <c r="F35" i="36"/>
  <c r="F34" i="36"/>
  <c r="F33" i="36"/>
  <c r="F32" i="36"/>
  <c r="F31" i="36"/>
  <c r="F30" i="36"/>
  <c r="F29" i="36"/>
  <c r="F28" i="36"/>
  <c r="F27" i="36"/>
  <c r="F24" i="36"/>
  <c r="F22" i="36"/>
  <c r="F21" i="36"/>
  <c r="F8" i="36"/>
  <c r="F5" i="36"/>
  <c r="F40" i="36" l="1"/>
  <c r="F15" i="36"/>
  <c r="F67" i="36"/>
  <c r="F45" i="36"/>
  <c r="F44" i="36"/>
  <c r="F83" i="36"/>
  <c r="F20" i="36"/>
  <c r="D76" i="35"/>
  <c r="D66" i="35"/>
  <c r="D46" i="35"/>
  <c r="D47" i="35" s="1"/>
  <c r="D20" i="35"/>
  <c r="D41" i="35"/>
  <c r="D40" i="35"/>
  <c r="D39" i="35"/>
  <c r="D38" i="35"/>
  <c r="F38" i="35" s="1"/>
  <c r="D37" i="35"/>
  <c r="D36" i="35"/>
  <c r="D35" i="35"/>
  <c r="D34" i="35"/>
  <c r="D32" i="35"/>
  <c r="D30" i="35"/>
  <c r="D29" i="35"/>
  <c r="D27" i="35"/>
  <c r="D19" i="35"/>
  <c r="D49" i="35" s="1"/>
  <c r="F49" i="35" s="1"/>
  <c r="D18" i="35"/>
  <c r="F60" i="35"/>
  <c r="F59" i="35"/>
  <c r="F23" i="35"/>
  <c r="F46" i="36" l="1"/>
  <c r="F85" i="36" s="1"/>
  <c r="F7" i="1" s="1"/>
  <c r="F19" i="35"/>
  <c r="D10" i="35"/>
  <c r="D44" i="35" s="1"/>
  <c r="F9" i="35"/>
  <c r="D6" i="35"/>
  <c r="F30" i="35"/>
  <c r="F29" i="35"/>
  <c r="F81" i="35"/>
  <c r="F80" i="35"/>
  <c r="F79" i="35"/>
  <c r="F77" i="35"/>
  <c r="F76" i="35"/>
  <c r="F75" i="35"/>
  <c r="F74" i="35"/>
  <c r="F73" i="35"/>
  <c r="F72" i="35"/>
  <c r="F67" i="35"/>
  <c r="F66" i="35"/>
  <c r="F65" i="35"/>
  <c r="F64" i="35"/>
  <c r="F63" i="35"/>
  <c r="F62" i="35"/>
  <c r="F61" i="35"/>
  <c r="F57" i="35"/>
  <c r="F56" i="35"/>
  <c r="F55" i="35"/>
  <c r="F47" i="35"/>
  <c r="F46" i="35"/>
  <c r="F45" i="35"/>
  <c r="F41" i="35"/>
  <c r="F40" i="35"/>
  <c r="F39" i="35"/>
  <c r="F37" i="35"/>
  <c r="F36" i="35"/>
  <c r="F35" i="35"/>
  <c r="F34" i="35"/>
  <c r="F33" i="35"/>
  <c r="F32" i="35"/>
  <c r="F31" i="35"/>
  <c r="F27" i="35"/>
  <c r="F26" i="35"/>
  <c r="F24" i="35"/>
  <c r="F21" i="35"/>
  <c r="F20" i="35"/>
  <c r="F18" i="35"/>
  <c r="F12" i="35"/>
  <c r="F8" i="35"/>
  <c r="F7" i="35"/>
  <c r="F6" i="35"/>
  <c r="F5" i="35"/>
  <c r="F10" i="35" l="1"/>
  <c r="F13" i="35" s="1"/>
  <c r="F44" i="35"/>
  <c r="F68" i="35"/>
  <c r="F82" i="35"/>
  <c r="D48" i="35"/>
  <c r="D50" i="35" s="1"/>
  <c r="F106" i="32"/>
  <c r="F50" i="35" l="1"/>
  <c r="F48" i="35"/>
  <c r="F51" i="35" s="1"/>
  <c r="F55" i="31"/>
  <c r="F54" i="31"/>
  <c r="F53" i="31"/>
  <c r="F52" i="31"/>
  <c r="F47" i="31"/>
  <c r="F46" i="31"/>
  <c r="F45" i="31"/>
  <c r="F43" i="31"/>
  <c r="F42" i="31"/>
  <c r="F41" i="31"/>
  <c r="F40" i="31"/>
  <c r="F39" i="31"/>
  <c r="F38" i="31"/>
  <c r="F36" i="31"/>
  <c r="F35" i="31"/>
  <c r="F33" i="31"/>
  <c r="F28" i="31"/>
  <c r="F26" i="31"/>
  <c r="F25" i="31"/>
  <c r="D23" i="31"/>
  <c r="F23" i="31" s="1"/>
  <c r="D22" i="31"/>
  <c r="F22" i="31" s="1"/>
  <c r="D21" i="31"/>
  <c r="F21" i="31" s="1"/>
  <c r="D20" i="31"/>
  <c r="F20" i="31" s="1"/>
  <c r="F19" i="31"/>
  <c r="D18" i="31"/>
  <c r="F18" i="31" s="1"/>
  <c r="D17" i="31"/>
  <c r="F17" i="31" s="1"/>
  <c r="D16" i="31"/>
  <c r="F14" i="31"/>
  <c r="F13" i="31"/>
  <c r="F7" i="31"/>
  <c r="F6" i="31"/>
  <c r="F5" i="31"/>
  <c r="F48" i="31" l="1"/>
  <c r="F16" i="31"/>
  <c r="F56" i="31"/>
  <c r="F8" i="31"/>
  <c r="F84" i="35"/>
  <c r="F9" i="1" s="1"/>
  <c r="D24" i="31"/>
  <c r="F24" i="31" s="1"/>
  <c r="D27" i="31" l="1"/>
  <c r="F27" i="31" s="1"/>
  <c r="F29" i="31" s="1"/>
  <c r="F58" i="31" s="1"/>
  <c r="F11" i="1" s="1"/>
  <c r="F169" i="32"/>
  <c r="F13" i="1" l="1"/>
  <c r="F42" i="34"/>
  <c r="F41" i="34"/>
  <c r="F40" i="34"/>
  <c r="F39" i="34"/>
  <c r="F38" i="34"/>
  <c r="F37" i="34"/>
  <c r="F36" i="34"/>
  <c r="F35" i="34"/>
  <c r="F34" i="34"/>
  <c r="F25" i="34"/>
  <c r="F27" i="34" s="1"/>
  <c r="F33" i="34" s="1"/>
  <c r="F24" i="34"/>
  <c r="F16" i="34"/>
  <c r="F15" i="34"/>
  <c r="F14" i="34"/>
  <c r="F13" i="34"/>
  <c r="F12" i="34"/>
  <c r="F11" i="34"/>
  <c r="F10" i="34"/>
  <c r="F9" i="34"/>
  <c r="E7" i="34"/>
  <c r="E6" i="34"/>
  <c r="F6" i="34" s="1"/>
  <c r="E140" i="33"/>
  <c r="F140" i="33" s="1"/>
  <c r="E139" i="33"/>
  <c r="F139" i="33" s="1"/>
  <c r="E137" i="33"/>
  <c r="F135" i="33"/>
  <c r="F134" i="33"/>
  <c r="F133" i="33"/>
  <c r="F132" i="33"/>
  <c r="F131" i="33"/>
  <c r="F130" i="33"/>
  <c r="E124" i="33"/>
  <c r="F119" i="33"/>
  <c r="F118" i="33"/>
  <c r="F117" i="33"/>
  <c r="F121" i="33" s="1"/>
  <c r="F129" i="33" s="1"/>
  <c r="E113" i="33"/>
  <c r="F111" i="33"/>
  <c r="F110" i="33"/>
  <c r="F109" i="33"/>
  <c r="F108" i="33"/>
  <c r="F107" i="33"/>
  <c r="F113" i="33" s="1"/>
  <c r="F128" i="33" s="1"/>
  <c r="E105" i="33"/>
  <c r="F100" i="33"/>
  <c r="F99" i="33"/>
  <c r="F98" i="33"/>
  <c r="F97" i="33"/>
  <c r="F96" i="33"/>
  <c r="F95" i="33"/>
  <c r="F94" i="33"/>
  <c r="F93" i="33"/>
  <c r="F92" i="33"/>
  <c r="F91" i="33"/>
  <c r="F90" i="33"/>
  <c r="F89" i="33"/>
  <c r="F88" i="33"/>
  <c r="F87" i="33"/>
  <c r="F86" i="33"/>
  <c r="F85" i="33"/>
  <c r="F84" i="33"/>
  <c r="F83" i="33"/>
  <c r="F82" i="33"/>
  <c r="F81" i="33"/>
  <c r="F80" i="33"/>
  <c r="F79" i="33"/>
  <c r="F71" i="33"/>
  <c r="F70" i="33"/>
  <c r="F69" i="33"/>
  <c r="F68" i="33"/>
  <c r="F67" i="33"/>
  <c r="E65" i="33"/>
  <c r="E64" i="33"/>
  <c r="E63" i="33"/>
  <c r="F60" i="33"/>
  <c r="F59" i="33"/>
  <c r="F58" i="33"/>
  <c r="F57" i="33"/>
  <c r="F56" i="33"/>
  <c r="F55" i="33"/>
  <c r="F54" i="33"/>
  <c r="F53" i="33"/>
  <c r="F52" i="33"/>
  <c r="F51" i="33"/>
  <c r="F50" i="33"/>
  <c r="F49" i="33"/>
  <c r="F48" i="33"/>
  <c r="F47" i="33"/>
  <c r="F46" i="33"/>
  <c r="F45" i="33"/>
  <c r="F44" i="33"/>
  <c r="F43" i="33"/>
  <c r="F42" i="33"/>
  <c r="F41" i="33"/>
  <c r="F40" i="33"/>
  <c r="F39" i="33"/>
  <c r="F38" i="33"/>
  <c r="F37" i="33"/>
  <c r="F36" i="33"/>
  <c r="F35" i="33"/>
  <c r="F34" i="33"/>
  <c r="F33" i="33"/>
  <c r="F32" i="33"/>
  <c r="F31" i="33"/>
  <c r="F30" i="33"/>
  <c r="F29" i="33"/>
  <c r="F28" i="33"/>
  <c r="F27" i="33"/>
  <c r="F26" i="33"/>
  <c r="F25" i="33"/>
  <c r="F24" i="33"/>
  <c r="F23" i="33"/>
  <c r="F22" i="33"/>
  <c r="F21" i="33"/>
  <c r="F20" i="33"/>
  <c r="F19" i="33"/>
  <c r="F18" i="33"/>
  <c r="F17" i="33"/>
  <c r="F16" i="33"/>
  <c r="F15" i="33"/>
  <c r="F14" i="33"/>
  <c r="F13" i="33"/>
  <c r="F12" i="33"/>
  <c r="F11" i="33"/>
  <c r="F10" i="33"/>
  <c r="E9" i="33"/>
  <c r="E8" i="33"/>
  <c r="E5" i="33"/>
  <c r="F5" i="33" s="1"/>
  <c r="F18" i="34" l="1"/>
  <c r="F32" i="34" s="1"/>
  <c r="F44" i="34" s="1"/>
  <c r="F14" i="1" s="1"/>
  <c r="F102" i="33"/>
  <c r="F127" i="33" s="1"/>
  <c r="F138" i="33" s="1"/>
  <c r="F62" i="33"/>
  <c r="F125" i="33" s="1"/>
  <c r="F73" i="33"/>
  <c r="F126" i="33" s="1"/>
  <c r="F166" i="32" l="1"/>
  <c r="D151" i="32"/>
  <c r="D160" i="32" s="1"/>
  <c r="F160" i="32" s="1"/>
  <c r="F136" i="32"/>
  <c r="F127" i="32"/>
  <c r="F124" i="32"/>
  <c r="F116" i="32"/>
  <c r="F113" i="32"/>
  <c r="F77" i="32"/>
  <c r="F75" i="32"/>
  <c r="F69" i="32"/>
  <c r="F65" i="32"/>
  <c r="F61" i="32"/>
  <c r="D35" i="32"/>
  <c r="F35" i="32" s="1"/>
  <c r="D31" i="32"/>
  <c r="F31" i="32" s="1"/>
  <c r="F27" i="32"/>
  <c r="D17" i="32"/>
  <c r="F17" i="32" s="1"/>
  <c r="D15" i="32"/>
  <c r="F15" i="32" s="1"/>
  <c r="F5" i="32"/>
  <c r="F151" i="32" l="1"/>
  <c r="D156" i="32"/>
  <c r="F156" i="32" s="1"/>
  <c r="D158" i="32"/>
  <c r="F158" i="32" s="1"/>
  <c r="D141" i="32"/>
  <c r="F141" i="32" s="1"/>
  <c r="D22" i="32"/>
  <c r="F22" i="32" s="1"/>
  <c r="D146" i="32" l="1"/>
  <c r="F146" i="32" s="1"/>
  <c r="F172" i="32" s="1"/>
  <c r="F12" i="1" s="1"/>
  <c r="F6" i="6" l="1"/>
  <c r="F5" i="6"/>
  <c r="F4" i="6"/>
  <c r="F3" i="6"/>
  <c r="F6" i="5"/>
  <c r="F5" i="5"/>
  <c r="F4" i="5"/>
  <c r="F3" i="5"/>
  <c r="F7" i="6" l="1"/>
  <c r="F15" i="1" s="1"/>
  <c r="F7" i="5"/>
  <c r="F6" i="1" s="1"/>
  <c r="F17" i="1" l="1"/>
  <c r="F18" i="1" s="1"/>
  <c r="F19" i="1" s="1"/>
  <c r="F20" i="1" s="1"/>
  <c r="F21" i="1" s="1"/>
</calcChain>
</file>

<file path=xl/sharedStrings.xml><?xml version="1.0" encoding="utf-8"?>
<sst xmlns="http://schemas.openxmlformats.org/spreadsheetml/2006/main" count="1416" uniqueCount="476">
  <si>
    <t>Zap. št</t>
  </si>
  <si>
    <t>POSTAVKA</t>
  </si>
  <si>
    <t>Enota</t>
  </si>
  <si>
    <t>Količina</t>
  </si>
  <si>
    <t>Cena na enoto</t>
  </si>
  <si>
    <t>Cena skupaj</t>
  </si>
  <si>
    <t>kom</t>
  </si>
  <si>
    <t>kompl.</t>
  </si>
  <si>
    <t xml:space="preserve">OPOMBA: Za vse postavke, ki zajemajo material velja, da je potrebno v ceni za enoto vkalkulirati nabavno ceno, prevoz, razkladanje, prenos do mesta vgraditve ter vgrajevanje ali polaganje.
</t>
  </si>
  <si>
    <t>m</t>
  </si>
  <si>
    <t>OSTALA DELA SKUPAJ:</t>
  </si>
  <si>
    <t>ZEMELJSKA DELA SKUPAJ:</t>
  </si>
  <si>
    <t>PREDDELA SKUPAJ:</t>
  </si>
  <si>
    <t>REKAPITULACIJA</t>
  </si>
  <si>
    <t>22 % DDV</t>
  </si>
  <si>
    <t>SKUPAJ brez DDV:</t>
  </si>
  <si>
    <t>ur</t>
  </si>
  <si>
    <t>OPOMBA: Nepredvidena dela naročita naročnik in nadzorni organ.Izvajalec je dolžan sporočiti ceno za enoto izdelka pred izvedbo del. Brez soglasja naročnika in nadzora se nepredvidenih del ne sme izvesti!</t>
  </si>
  <si>
    <t>OPOMBA: Za vse stalne in začasne deponije materiala odgovarja izvajalec sam. V ceni za enoto je potrebno upoštevati strošek stalne oziroma začasne deponije. Deponiranje mora biti urejeno v skladu z veljavno zakonodajo.</t>
  </si>
  <si>
    <t xml:space="preserve">OPOMBA: V popisih ali grafičnih prilogah so pri določenih pozicijah navedena komercialna imena posameznih proizvodov. Navedba proizvoda ni zahteva naročnika in njena izpolnitev za ponudnika ni zavezujoča. Služi zgolj kot primer (opis) na trgu prisotnega proizvoda, čigar uporabnost ter kvaliteta materialov in izvedbe izpolnjujejo naročnikova pričakovanja. Ponudnik lahko ponudi katerikoli podoben proizvod drugega proizvajalca, ki pa mora enakovredno služiti svojemu namenu in biti enake ali boljše kvalitete od navedenega. V tem primeru je ponudnik dolžan  navesti podatke o proizvodu : Izdelovalec, Tip, Kataloška številka in je naprošen, da kot izkaz tehničnih lastnosti proizvoda priloži verodostojna dokazila kot so: katalog, prospekt ali drug ustrezen uraden material s tehničnimi specifikacijami ponujenega elementa opreme oziroma izjava proizvajalca, da ima takšne karakteristike. V primeru, da ponudnik ne bo navedel podatkov o ponujenem proizvodu, bo veljalo, da je ponudil proizvod proizvajalca, katerega komercialno ime je navedeno v popisu. </t>
  </si>
  <si>
    <t>OPOMBA: V enotnih cenah je vedno  potrebno zajeti dobavo, izdelavo, montažo in ves vezni ter pritrdilni material za navedeno postavko, četudi tekst postavke eksplicitno ne navaja tega.</t>
  </si>
  <si>
    <t>Nabava in vgraditev zaščitnih cevi alkaten d110 (TT, elektro kabli) z obbetoniranjem C12/15 l=3.00 m za izvedbo križanja, vključno z vsemi potrebnimi deli in materialom.</t>
  </si>
  <si>
    <t>Strojni zasip jarka z izkopanim materialom (izkopan obstoječ tampon, frezanec) z izločevanjem kamenja nad fi 10 cm oz. po navodilih nadzora, s komprimacijo v plasteh do predpisane zbitosti 95% asfaltne površine 92% zelene površine (po SPP). Upoštevati nakladanje in dovoz iz lokalne deponije.</t>
  </si>
  <si>
    <t>Valjanje in planiranje planuma ceste ter fina priprava pred asfaltiranjem, z zaklinjanjem tampona.</t>
  </si>
  <si>
    <t>OPOMBA: Za vse postavke, ki zajemajo material velja, da je potrebno v ceni za enoto vkalkulirati nabavno ceno, nakladanje, prevoz, razkladanje, prenos do mesta vgraditve ter vgrajevanje ali polaganje.</t>
  </si>
  <si>
    <t>OPOMBA: Za vse postavke, ki zajemajo izkop velja, da je potrebno v ceni za enoto izkopa vkalkulirati tudi strošek črpanja talne vode.</t>
  </si>
  <si>
    <t>MONTAŽNA DELA</t>
  </si>
  <si>
    <t>SKUPAJ z DDV:</t>
  </si>
  <si>
    <t>Postavitev in kasnejša odstranitev gradbenih profilov in nivelacija vzdolžnih padcev.</t>
  </si>
  <si>
    <t>Nabava, montaža in demontaža dvostranskega vertikalnega varovalnega opaža za razpiranje sten izkopa po tehnologiji izvajalca.</t>
  </si>
  <si>
    <t xml:space="preserve">H =1.00-2.00 m </t>
  </si>
  <si>
    <t xml:space="preserve">H =2.00-3.00 m </t>
  </si>
  <si>
    <t xml:space="preserve">ur </t>
  </si>
  <si>
    <t>I./  PREDDELA</t>
  </si>
  <si>
    <t>I./</t>
  </si>
  <si>
    <t>II./ ZEMELJSKA DELA</t>
  </si>
  <si>
    <t>II./</t>
  </si>
  <si>
    <t>III./ MONTAŽNA DELA</t>
  </si>
  <si>
    <t>III./</t>
  </si>
  <si>
    <t>IV./ OSTALA DELA</t>
  </si>
  <si>
    <t>IV./</t>
  </si>
  <si>
    <t>Nadzor geologa nad gradnjo ter izdelava poročila s strani geologa.</t>
  </si>
  <si>
    <t>Po končanih delih strojno čiščenje kanala z visokotlačno črpalko.</t>
  </si>
  <si>
    <t>Morebitni dodatni ročni izkop s stranskim odmetom.</t>
  </si>
  <si>
    <t>Ročna izravnava ter utrjevanje dna jarka s točnostjo +/- 3 cm po celotni širini jarka v predvidenem nagibu.</t>
  </si>
  <si>
    <t>Izdelava meritev zbitosti zasipa z izdelavo končnega poročila s strani pooblaščene organizacije.</t>
  </si>
  <si>
    <t>Obnovitev zakoličbene osi trase z zavarovanjem zakoličene osi.</t>
  </si>
  <si>
    <r>
      <t>m</t>
    </r>
    <r>
      <rPr>
        <vertAlign val="superscript"/>
        <sz val="10"/>
        <rFont val="Arial"/>
        <family val="2"/>
      </rPr>
      <t>3</t>
    </r>
  </si>
  <si>
    <r>
      <t>m</t>
    </r>
    <r>
      <rPr>
        <vertAlign val="superscript"/>
        <sz val="10"/>
        <rFont val="Arial"/>
        <family val="2"/>
      </rPr>
      <t>2</t>
    </r>
  </si>
  <si>
    <t>KANALIZACIJA SKUPAJ:</t>
  </si>
  <si>
    <t>KANALIZACIJA</t>
  </si>
  <si>
    <r>
      <t>Geodetski posnetek izvedenega stanja in izdelava geodetskega načrta za vpis v GJI (situacije, podolžni profili, pisani podolžni profili, opisi jaškov, izjava odgovornega geodeta - vpis v ZKGJI). Investitorju je potrebno predati dokumentacijo v</t>
    </r>
    <r>
      <rPr>
        <b/>
        <sz val="10"/>
        <rFont val="Arial"/>
        <family val="2"/>
        <charset val="238"/>
      </rPr>
      <t xml:space="preserve"> štirih izvodih</t>
    </r>
    <r>
      <rPr>
        <sz val="10"/>
        <rFont val="Arial"/>
        <family val="2"/>
        <charset val="238"/>
      </rPr>
      <t>, pri geodetskem posnetku je potrebno dostaviti podatke tudi v digitalni obliki (berljivo z Arcview pisani podolžni profil v TXT)</t>
    </r>
  </si>
  <si>
    <t>OPOMBA: Za vse postavke, ki zajemajo material velja, da je potrebno v ceni za enoto vkalkulirati nabavno ceno, prevoz, razkladanje, prenos do mesta vgraditve ter vgrajevanje ali polaganje.</t>
  </si>
  <si>
    <t xml:space="preserve">Frezanje asfalta ceste debeline do 10 cm, nakladanje in odvoz na začasno deponijo. Material je predviden za zasip. </t>
  </si>
  <si>
    <t>1</t>
  </si>
  <si>
    <t>2</t>
  </si>
  <si>
    <t>3</t>
  </si>
  <si>
    <t>4</t>
  </si>
  <si>
    <t>5</t>
  </si>
  <si>
    <t>6</t>
  </si>
  <si>
    <t>7</t>
  </si>
  <si>
    <t>8</t>
  </si>
  <si>
    <t>9</t>
  </si>
  <si>
    <t>10</t>
  </si>
  <si>
    <t>11</t>
  </si>
  <si>
    <t>12</t>
  </si>
  <si>
    <t>13</t>
  </si>
  <si>
    <t>14</t>
  </si>
  <si>
    <t>15</t>
  </si>
  <si>
    <t>16</t>
  </si>
  <si>
    <t>17</t>
  </si>
  <si>
    <t>18</t>
  </si>
  <si>
    <t>Strojni izkop humusa v debelini 20 cm z nakladanjem in odvozom na gradbiščno deponijo za kasnejšo uporabo pri humusiranju.</t>
  </si>
  <si>
    <t xml:space="preserve">Zavarovanje in križanje trase kanalizacije z obstoječimi komunalnimi vodi. V ceni za enoto naj izvajalec predvidi ročni izkop pri odkrivanju voda, zaščito le-tega z zaščitno cevjo z obbetoniranjem in nadzor upravljalca; povprečna širina 3 m. </t>
  </si>
  <si>
    <t>Planiranje zelenih povpršin, grabljenje kamenja, sejanje s travnim semenom in gnojenje.</t>
  </si>
  <si>
    <t>globina 2-4 m</t>
  </si>
  <si>
    <t>globina 0-2 m</t>
  </si>
  <si>
    <r>
      <t>Strojni izkop jarka v zemljini III</t>
    </r>
    <r>
      <rPr>
        <sz val="10"/>
        <rFont val="Arial"/>
        <family val="2"/>
        <charset val="238"/>
      </rPr>
      <t xml:space="preserve">. - IV. ktg, vertikalni z razpiranjem in nalaganjem na vozilo ter odvozom na gradbiščno deponijo, vključno s stroški deponiranja.          </t>
    </r>
  </si>
  <si>
    <r>
      <t xml:space="preserve">Strojni izkop jarka v zemljini </t>
    </r>
    <r>
      <rPr>
        <sz val="10"/>
        <rFont val="Arial"/>
        <family val="2"/>
        <charset val="238"/>
      </rPr>
      <t xml:space="preserve">V. ktg, vertikalni z razpiranjem in nalaganjem na vozilo ter odvozom na stalno deponijo, vključno s stroški deponiranja.          </t>
    </r>
  </si>
  <si>
    <t>19</t>
  </si>
  <si>
    <t>Dobava in polaganje polnostenskih PVC cevi DN 160 mm, temenske togosti min. SN 8, ki se polno obbetonirajo. Cevi  so zunaj  in znotraj gladke. Izvedene po standardu SIST EN 1401-1. Stiki se tesnijo s spojno integriranimi gumi tesnili oziroma spojkami. Cena postavke mora vključevati tudi dobavo in vgradnjo betona za obbetoniranje.</t>
  </si>
  <si>
    <t>Ugotavljanje "ničelnega" stanja objektov in terena ob trasi s strani pooblaščenih izvedencev ter izdelava poročila</t>
  </si>
  <si>
    <t>Rušenje betonskih in AB konstrukcij z nalaganjem in odvozom na odlagališče gradbenih odpadkov vključno s stroški deponiranja.</t>
  </si>
  <si>
    <t xml:space="preserve">Dobava, transport peska in izdelava peščene posteljice iz dobavljenega materiala (4-8 mm) po navodilih nadzora, debeline 13 cm, v predvidenem nagibu, po celotni širini jarka                                       </t>
  </si>
  <si>
    <t xml:space="preserve">Dobava, transport ter strojno-ročni obsip cevi z dobro vezljivim, dobavljenim peščenim materialom (4-8mm) skladno s standardom SIST EN-1610, do višine 15 cm nad cevjo, z utrjevanjem do zbitosti (97% SPP)         </t>
  </si>
  <si>
    <r>
      <t>Nabava,transport in vgraditev zmrzlinsko odpornega kamnitega materiala do fi 63 mm v debelini 30 cm</t>
    </r>
    <r>
      <rPr>
        <sz val="10"/>
        <rFont val="Arial"/>
        <family val="2"/>
      </rPr>
      <t xml:space="preserve"> z uvaljanem za izvedbo spodnjega ustroja.</t>
    </r>
  </si>
  <si>
    <t>Nalaganje in dovoz humusa ter humusiranje travnih površin s poprej odstranjenim humusom ter razplaniranje viška humusa ob trasi.</t>
  </si>
  <si>
    <t>Dobava in vgradnja revizijskih jaškov za nastavke hišnih priključkov iz armirano betonskih tipskih elementov DN 800. V ceni zajeti tudi vsa potrebna zemeljska dela, podložni beton in zasip z gramoznim materialom. Jaški so globine od 1,00 do 2,00 m.  Priključke na jaške izvesti z navrtavo in gumi tesnili, kar mora biti upoštevano v ceni na enoto.</t>
  </si>
  <si>
    <t>Dobava in vgradnja LTŽ pokrovov za jaške hišnih priključkov dimenzije fi 600 mm z montažnim vencem, ki se mora obbetonirati. S protihrupim vložkom in zaklepom. Nosilnosti min. 250 kN.</t>
  </si>
  <si>
    <t>Izvedba priključka cevi DN 160 za nastavek hišnega priključka na revizijske jaške glavnega kanala s kronsko navrtavo in gumi tesnilom.</t>
  </si>
  <si>
    <t>Projektantski nadzor in usklajevanje projekta z dejansko ugotovljenim stanjem na terenu.</t>
  </si>
  <si>
    <t>Nabava, transport in vgraditev betona C25/30 v AB konstrukcije z vsem potrebnim delom in materialom.</t>
  </si>
  <si>
    <t>Nepredvidena dela v vrednosti 10% vseh del</t>
  </si>
  <si>
    <t>Nabava in vgraditev zaščitnih cevi alkaten d110 (CATV kabli) z obbetoniranjem C12/15 l=4.00 m za izvedbo križanja, vključno z vsemi potrebnimi deli in materialom.</t>
  </si>
  <si>
    <t>Dobava in polaganje visokoobremenitvenih polnostenskih PP cevi DN 200 mm, temenske togosti min. SN12. Cevi zunaj  in znotraj gladke. Izvedene po standardu SIST EN 13476-1. Stiki se tesnijo s spojno integriranimi gumi tesnili oziroma spojkami.</t>
  </si>
  <si>
    <t>Nabava, transport, namestitev in montaža prefabriciranih AB DN 1000 jaškov z reduciranim konusom 600 mm in nastavkom za PP cevi DN 200-250 ter tovarniško izdelano muldo. Stikovanje betonskih cevi jaška se izvede z integriranim tesnilom. V ceni upoštevati dodatni izkop na mestih jaškov, planiranje in utrjevanje dna, izdelava bet. ležišča C12/15 d=15 cm. Nabava in montaža betonskega konusnega okvirja s  pokrovom fi 600mm, 400 kN, s protihrupnim tesnilom in zaklepom. Pokrovi se lepijo na betonski okvir z ustreznim lepilom.  Pokrovi morajo biti zračni. Betonski venci se morajo obbetonirati. Jaški morajo imeti atest proti vzgonu. (npr. kot jaški tip NIVO skladen s SIST EN 1917).</t>
  </si>
  <si>
    <t>Nabava, transport in vgraditev tampona I (TP 32) v debelini 25 cm z uvaljanjem Ev2&gt;= 100 Mpa za izvedbo zgornjega ustroja.</t>
  </si>
  <si>
    <t>Izkop in odvoz obstoječega tampona do deb. 30 cm na začasno deponijo - material predviden za zasip</t>
  </si>
  <si>
    <t>20</t>
  </si>
  <si>
    <t>Nabava, transport in vgraditev tampona I (TP 32) v debelini 30 cm z uvaljanjem Ev2&gt;= 80 Mpa za izvedbo makadamskega vozišča</t>
  </si>
  <si>
    <t>Tlačni preizkus kanalizacije in jaškov z izdelavo končnga poročila skladno s SISTEN 1610</t>
  </si>
  <si>
    <t>Pregled kanalizacije s kamero in izdelava poročila</t>
  </si>
  <si>
    <r>
      <t>Strojni izkop jarka v zemljini III</t>
    </r>
    <r>
      <rPr>
        <sz val="10"/>
        <rFont val="Arial"/>
        <family val="2"/>
        <charset val="238"/>
      </rPr>
      <t xml:space="preserve">. - IV. ktg, široki z nalaganjem na vozilo ter odvozom na gradbiščno deponijo, vključno s stroški deponiranja.          </t>
    </r>
  </si>
  <si>
    <t>Izvedba priključka kanalizacije na obstoječ jašek kanalizacije s kronsko navrtavo za cev DN 200 in vstavitvijo gumi tesnila, vključno z vsem potrebnim delom in materialom.</t>
  </si>
  <si>
    <t>m'</t>
  </si>
  <si>
    <t>21</t>
  </si>
  <si>
    <t xml:space="preserve">kolena PVC DN 160/45 . </t>
  </si>
  <si>
    <t>I./ Pripravljalna dela</t>
  </si>
  <si>
    <t>Nabava in vgraditev geotekstila 200 gr/m2</t>
  </si>
  <si>
    <r>
      <t xml:space="preserve">Asfaltiranje vozišča v sestavi- </t>
    </r>
    <r>
      <rPr>
        <b/>
        <i/>
        <sz val="10"/>
        <rFont val="Arial"/>
        <family val="2"/>
      </rPr>
      <t>lokalna cesta</t>
    </r>
    <r>
      <rPr>
        <sz val="10"/>
        <rFont val="Arial"/>
        <family val="2"/>
      </rPr>
      <t xml:space="preserve">:                                       3 cm AC 8 ali 11 surf B50/70 A4                                    </t>
    </r>
  </si>
  <si>
    <r>
      <t>Asfaltiranje vozišča v sestavi-</t>
    </r>
    <r>
      <rPr>
        <b/>
        <i/>
        <sz val="10"/>
        <rFont val="Arial"/>
        <family val="2"/>
      </rPr>
      <t xml:space="preserve"> lokalna cesta</t>
    </r>
    <r>
      <rPr>
        <sz val="10"/>
        <rFont val="Arial"/>
        <family val="2"/>
      </rPr>
      <t>:                                       6 cm AC 16 base B50/70 A4</t>
    </r>
  </si>
  <si>
    <t>Strojno rezanje asfalta in tesnjenje stikov s tesnilnim kitom za stičenje (npr. Masflex ali ekvivalent) pred asfaltiranjem d&lt;=10 cm</t>
  </si>
  <si>
    <t xml:space="preserve">Dobava in vgradnja priključka na jašek s "fajfo" iz polnostenskih PP cevi DN 200 mm, temenske togosti min. SN12. Cevi zunaj  in znotraj gladke. Izvedene po standardu SIST EN 13476-1. Stiki se tesnijo s spojno integriranimi gumi tesnili oziroma spojkami v sestavi :                                                                                          </t>
  </si>
  <si>
    <t>T kos 200/200/45   kos 1</t>
  </si>
  <si>
    <t>koleno 200/45       kos 1</t>
  </si>
  <si>
    <t>koleno 200/90       kos 1</t>
  </si>
  <si>
    <t>cev PP 200 SN 12 m' 5</t>
  </si>
  <si>
    <t>II.</t>
  </si>
  <si>
    <t>III.</t>
  </si>
  <si>
    <t>IV.</t>
  </si>
  <si>
    <t>V.</t>
  </si>
  <si>
    <t xml:space="preserve">kolena PP DN 200 7,5 st. </t>
  </si>
  <si>
    <t>T kos PP DN 200/160/45</t>
  </si>
  <si>
    <t>Nabava in vgraditev zaščitnih cevi PE 100 dA 400 SDR 11 L=4.00 m za izvedbo križanja s plinovodom, vključno z vsemi potrebnimi deli in materialom.</t>
  </si>
  <si>
    <t>Nabava, transport in vgraditev tampona I (TP 32) v debelini 30 cm z uvaljanjem Ev2&gt;= 80 Mpa - makadamska cesta</t>
  </si>
  <si>
    <t>Posek grmičevja s spravilom</t>
  </si>
  <si>
    <t>Posek drevja do fi 30 cm s spravilom</t>
  </si>
  <si>
    <t>Valjanje in planiranje planuma ceste -makadam</t>
  </si>
  <si>
    <t>kos</t>
  </si>
  <si>
    <t xml:space="preserve">Dobava, transport peska in izdelava peščene posteljice iz dobavljenega materiala (4-8 mm) po navodilih nadzora, debeline 11 cm, v predvidenem nagibu, po celotni širini jarka                                       </t>
  </si>
  <si>
    <t>Obojka Agef plus PE d110 d110 SDR 17</t>
  </si>
  <si>
    <t>končnik s prirobnico PE100 d110 SDR 17</t>
  </si>
  <si>
    <t>Nabava in vgraditev fazonskih kosov PN 10</t>
  </si>
  <si>
    <t>FFK 45° DN 100</t>
  </si>
  <si>
    <t>T KOS DN 100/DN 50</t>
  </si>
  <si>
    <t>AVTOMATSKI ZRAČNIK DN 50 Z VGRADNO GARNITURO IN CESTNO KAPO kot npr. tip HAWLE 985 00</t>
  </si>
  <si>
    <t>Kompletna izdelava horizontalnega vrtanja in vgraditev PE oplaščene cevi, z izdelavo vhodne in izhodne gradbene jame s potrebno zaščito (opaž) in vzpostavitvijo obstoječega stanja (zemljina IV-V. ktg.)  -oplaščena cev kot SLM 2.0 PE 100 d110 x 6,6 SDR 17</t>
  </si>
  <si>
    <t>Poz.</t>
  </si>
  <si>
    <t>Naziv dela in materiala</t>
  </si>
  <si>
    <t>kol</t>
  </si>
  <si>
    <t>EM</t>
  </si>
  <si>
    <t>Cena (Eur)</t>
  </si>
  <si>
    <t>Skupaj (Eur)</t>
  </si>
  <si>
    <t>1.</t>
  </si>
  <si>
    <t>RAZDELILCI</t>
  </si>
  <si>
    <t>(dobava in montaža)</t>
  </si>
  <si>
    <t>-</t>
  </si>
  <si>
    <t>prosto stoječa plastična omarica dim. 1000x1250x320, z visokim podstavkom, s strešico, ključavnico in z vgrajeno naslednjo opremo:</t>
  </si>
  <si>
    <t>glavno stikalo; preklopno mreža-0-agregat; 32A; z rdečim ročajem; 4 pol; 
kot npr. KG32A-K950- VE21</t>
  </si>
  <si>
    <t>instalacijski odklopnik 3f; C32A; 10kA 
(ožičeno po enopolni shemi)</t>
  </si>
  <si>
    <t>instalacijski odklopnik 3f; C6A; 10kA 
(ožičeno po enopolni shemi)</t>
  </si>
  <si>
    <t>KZS C16/30mA 
(ožičeno po enopolni shemi)</t>
  </si>
  <si>
    <t>instalacijski odklopnik 1f; C 2- 16A; 10kA 
(ožičeno po enopolni shemi)</t>
  </si>
  <si>
    <t>instalacijski odklopnik 2f; C 6A; 10kA 
(ožičeno po enopolni shemi)</t>
  </si>
  <si>
    <t>motorsko zaščitno stikalo 4-6.3A 3p, kot npr. GVRT10+11 4-6.3A</t>
  </si>
  <si>
    <t>samo vgradnja krmilno zaščitnega releja FPG 413</t>
  </si>
  <si>
    <t>odvodnik prenapetosti razred II; (8/20)µs; Uc=275V; Iskra zaščite ISPRO CR 160/275 4+0</t>
  </si>
  <si>
    <t>natičnica 400 V; 50 Hz; 32 A; 5pol; IP67 za priklop DEA</t>
  </si>
  <si>
    <t>vtičnica 230 V; 50 Hz; na DIN letev</t>
  </si>
  <si>
    <t xml:space="preserve">svetilka s stikalom in vtičnico 230 V; 50 Hz v razdelilcu </t>
  </si>
  <si>
    <t>grelec 100W za DIN letev</t>
  </si>
  <si>
    <t xml:space="preserve">ventilator s filtrom IP65 </t>
  </si>
  <si>
    <t>zračnik s filtrom</t>
  </si>
  <si>
    <t>končno stikalo na vratih 1xNO 1xNC</t>
  </si>
  <si>
    <t>termostat NC za gralec na DIN letev 0-60C</t>
  </si>
  <si>
    <t>termostat NO za ventilator na DIN letev 0-60C</t>
  </si>
  <si>
    <t>prenapetostna zaščita 
enakovredno kot npr.: Phoenix Contact MT-2PE-230VAC</t>
  </si>
  <si>
    <t>napetostni nadzorni rele  UR5P3011</t>
  </si>
  <si>
    <t>prenapetostna zaščita PZV 301 24VDC</t>
  </si>
  <si>
    <t>Tipka RUMENA 1NO, enakovredno kot npr. RMQ Titan M22 kpl z nosilcem oznake, adapterjem in stikalnim elementom, montaža na DIN letev</t>
  </si>
  <si>
    <t>stikalo preklopno 1-0-2;25A 2p; CG8A211 VE21</t>
  </si>
  <si>
    <t>krmilno preklopno stikalo 0-1-2-3, 20A, 2p, pritrditev na letev</t>
  </si>
  <si>
    <t>krmilno preklopno stikalo 1-2, 25A, 2p, pritrditev na letev</t>
  </si>
  <si>
    <t>krmilno stikalo 0-1, 25A, 1p, pritrditev na letev</t>
  </si>
  <si>
    <t>stikalo izklopno 0-1; 25A; 1p CG8A200 VE12</t>
  </si>
  <si>
    <t>UPS brezprekinitveno napajanje 2200VA (1750W), On-line faze 1/1, dvojna pretvorba, RIELLO AROS Sentinel PRO 2200
kpl z relejna kartica za UPS, MULTICOM 382</t>
  </si>
  <si>
    <t xml:space="preserve">pomožni rele Schrack tip PT 570024 (24VDC); 6A; kpl s podnožjem in LED modulom </t>
  </si>
  <si>
    <t>pomožni rele Schrack tip PT 570524 (24 VAC) kpl s podnožjem in LED modulom</t>
  </si>
  <si>
    <t>stabiliziran usmernik  230VAC / 24VDC 5A</t>
  </si>
  <si>
    <t>stabiliziran usmernik  230VAC / 12VDC 10A</t>
  </si>
  <si>
    <t>transformator ločilni 230VAC/24VAC 100VA</t>
  </si>
  <si>
    <t>krmilnik z naslednjimi konfiguracijami kot npr.:</t>
  </si>
  <si>
    <t xml:space="preserve">krmilnik UNITRONICS V570-57-T20B, OPLC Vision, LCD prikazovalnik </t>
  </si>
  <si>
    <t>EX-A2X I/O Expansion Module Adapter</t>
  </si>
  <si>
    <t>I/O Expansion Modul Ex-D16A3-RO8; 16DI, 3AI, 8RO</t>
  </si>
  <si>
    <t>I/O Expansion Modul IO-D0808; 8DI,8DO</t>
  </si>
  <si>
    <t xml:space="preserve">izdelava aplikativne programske opreme za krmilnik
-  18x DI
-  4x DO
-  1x AI
</t>
  </si>
  <si>
    <t>kpl</t>
  </si>
  <si>
    <t>izdelava SCADA aplikacije v nadzornem centru, prenos podatkov po UKV povezavi, zagon in testiranje</t>
  </si>
  <si>
    <t>usposabljanje in izobraževanje upravljalca sistema ter testiranje in spuščanje v pogon</t>
  </si>
  <si>
    <t>izdelava projekta radijskih zvez in pridobitev radijskega dovoljenja</t>
  </si>
  <si>
    <t>UKV modem, 
enakovredno kot npr. AN1200R, 1200/2400 Modbus</t>
  </si>
  <si>
    <t>UKV postaja,
enakovredno kot npr. Motorola CM 340, VX-2000U 440-470 MHz</t>
  </si>
  <si>
    <t xml:space="preserve">PREHOD N--BNC S KABLOM 1M </t>
  </si>
  <si>
    <t xml:space="preserve">sponka VS 16mm2 </t>
  </si>
  <si>
    <t xml:space="preserve">sponka VS 6mm2 </t>
  </si>
  <si>
    <t xml:space="preserve">sponka VS 4mm2 </t>
  </si>
  <si>
    <t>letev pritrdilna DIN</t>
  </si>
  <si>
    <t>drobni in vezni instalacijski material</t>
  </si>
  <si>
    <t xml:space="preserve"> </t>
  </si>
  <si>
    <t>RAZDELILEC skupaj:</t>
  </si>
  <si>
    <t>2.</t>
  </si>
  <si>
    <t>KABELSKI RAZVOD</t>
  </si>
  <si>
    <t>kabel NYY-J 4 x 10mm2</t>
  </si>
  <si>
    <t>kabel NYY-J 5 x 10mm2</t>
  </si>
  <si>
    <t>kabel H07RR 3x0,75 mm2 gumi</t>
  </si>
  <si>
    <t>žica H07V-K 16 mm2</t>
  </si>
  <si>
    <t>žica H07V-K 6 mm2</t>
  </si>
  <si>
    <t>KABELSKI RAZVOD skupaj:</t>
  </si>
  <si>
    <t>3.</t>
  </si>
  <si>
    <t>OSTALI ELEKTROINSTALACIJSKI MATERIAL in DELA</t>
  </si>
  <si>
    <t>cev Stigmaflex fi 75mm</t>
  </si>
  <si>
    <t>zaščitni trak (pozor elektrika)</t>
  </si>
  <si>
    <t>dobava in montaža končnega stikala za kontrolo vstopa</t>
  </si>
  <si>
    <t>dobava in montaža zvezdne merilne sonde PPI 100 EItra  komplet z tipskim kablom  20m</t>
  </si>
  <si>
    <t>polaganja tipskega kabla za priklop črpalk do 20m</t>
  </si>
  <si>
    <t>dobava in montaža nivojskih stikal hruška komplet s tipskim kablom 20m</t>
  </si>
  <si>
    <t xml:space="preserve">INOX zaščitna cev premera 0.5"-1";za zaščito kablov; komplet s pritrditvami </t>
  </si>
  <si>
    <t>kabelska polica PK 100 Rf komplet s spojnim in nosilnim materialom</t>
  </si>
  <si>
    <t>kabelska polica PK 50 Rf komplet s spojnim in nosilnim materialom</t>
  </si>
  <si>
    <t>inox objemke za pritrditev nivojne sonde</t>
  </si>
  <si>
    <t>Inox trak 30x3,5mm</t>
  </si>
  <si>
    <t>izdelava galvanskih spojev iz INOX materiala</t>
  </si>
  <si>
    <t>razvodnica DIP dodatne izenačitve potenciala</t>
  </si>
  <si>
    <t>križne sponke INOX</t>
  </si>
  <si>
    <t>armaturna sponka 
enakovredno kot npr.: Hermi - KON09</t>
  </si>
  <si>
    <t>premaz za antikorozijsko zaščito bitumen</t>
  </si>
  <si>
    <t>kg</t>
  </si>
  <si>
    <t xml:space="preserve">Cu pletenica 16 mm2; dolžine  l=100 cm, cpl s kabel čevlji, vijaki in podložkami </t>
  </si>
  <si>
    <t xml:space="preserve">cevna objemka iz INOX nerjaveče pločevine premera 2" - 5", cpl s kabel čevlji, vijaki in podložkami </t>
  </si>
  <si>
    <t>dobava in motaža antenskega droga Inox (6m) s temeljem</t>
  </si>
  <si>
    <t>UKV antena,
enakovredno kot npr.:  YAGI AD-40/4-3, kpl. s kablom RG214 (cca 15m), BNC konektorji in antensko zaščito ASP-01</t>
  </si>
  <si>
    <t>zatesnitev uvodov kablov v črpališče</t>
  </si>
  <si>
    <t>drobni montažni  material</t>
  </si>
  <si>
    <t>OSTALI MATERIAL in DELA skupaj:</t>
  </si>
  <si>
    <t>4.</t>
  </si>
  <si>
    <t>PRIKLOPI</t>
  </si>
  <si>
    <t>dvostranski priklop kabla 4x10mm2</t>
  </si>
  <si>
    <t>priklop črpalke 2,2 kW</t>
  </si>
  <si>
    <t>priklop nivojske sonde</t>
  </si>
  <si>
    <t>priklop plovno stikalo</t>
  </si>
  <si>
    <t>priklop končnega stikala</t>
  </si>
  <si>
    <t>PRIKLOPI skupaj:</t>
  </si>
  <si>
    <t>5.</t>
  </si>
  <si>
    <t>GRADBENA DELA</t>
  </si>
  <si>
    <t>izkop in zasutje stojnega mesta za temelj razdelilca</t>
  </si>
  <si>
    <t>izdelava betonske podloge za temelj razdelilca dim. 1,0x1,0x0,3 m</t>
  </si>
  <si>
    <t>izkop in zasutje jarka globine 0.9 m in 0.3 m širine ter ponovna zatravitev oz. vrnitev v prvotno stanje</t>
  </si>
  <si>
    <t>GRADBENA DELA skupaj :</t>
  </si>
  <si>
    <t>RAZDELILEC</t>
  </si>
  <si>
    <t>6.</t>
  </si>
  <si>
    <t xml:space="preserve">PRIPRAVA DELA IN TRANSPORT </t>
  </si>
  <si>
    <t>7.</t>
  </si>
  <si>
    <t>NEPREDVIDENA DELA poz. 1- 5 10%</t>
  </si>
  <si>
    <t>8.</t>
  </si>
  <si>
    <t>STROŠKI ZAVAROVANJA OPREME MED IZVAJANJEM DEL IN PO IZVEDBI DEL V GARANCIJSKEM ROKU</t>
  </si>
  <si>
    <t>9.</t>
  </si>
  <si>
    <t>MERITVE ZAŠČITE PROTI UDARU ELEKTRIČNEGA TOKA, IZOLACIJSKE TRDNOSTI KABELSKIH VODNIKOV, GALVANSKIH POVEZAV KOVINSKIH MAS IN PONIKALNE UPORNOSTI STRELOVODNE OZEMLJITVE IN IZDAJA USTREZNE DOKUMENTACIJE V SKLADU S PREDPISI IN PROTOKOLI</t>
  </si>
  <si>
    <t>10.</t>
  </si>
  <si>
    <t>GEODETSKI POSNETEK</t>
  </si>
  <si>
    <t>11.</t>
  </si>
  <si>
    <t>IZDELAVA PID</t>
  </si>
  <si>
    <t>EUR</t>
  </si>
  <si>
    <t>stev</t>
  </si>
  <si>
    <t>postavka</t>
  </si>
  <si>
    <t>em</t>
  </si>
  <si>
    <t>količina</t>
  </si>
  <si>
    <t>cena/em</t>
  </si>
  <si>
    <t>suma</t>
  </si>
  <si>
    <t>Zakoličba objekta</t>
  </si>
  <si>
    <t>Strojni izkop zemljine III.-IV.ktg</t>
  </si>
  <si>
    <t xml:space="preserve">(80% strojno, 20 % ročno) </t>
  </si>
  <si>
    <t>vertikalni z razpiranjem in</t>
  </si>
  <si>
    <t xml:space="preserve">nalaganjem na vozilo </t>
  </si>
  <si>
    <t>III. ktg 30 %</t>
  </si>
  <si>
    <t>IV. ktg 70 %</t>
  </si>
  <si>
    <t>0-2 m</t>
  </si>
  <si>
    <t>m3</t>
  </si>
  <si>
    <t>2-4 m</t>
  </si>
  <si>
    <t xml:space="preserve">Odvoz izkopanega materiala na </t>
  </si>
  <si>
    <t>lokalno deponijo do 1.00 km</t>
  </si>
  <si>
    <t xml:space="preserve">Nabava, montaža in demontaža </t>
  </si>
  <si>
    <t>vertikalnega opaža po tehnologiji</t>
  </si>
  <si>
    <t>izvajalca</t>
  </si>
  <si>
    <t>m2</t>
  </si>
  <si>
    <t>Planiranje dna jarka</t>
  </si>
  <si>
    <t>(ročno)</t>
  </si>
  <si>
    <t>Nabava in vgradnja betona C12/15</t>
  </si>
  <si>
    <t>v debelini 0.10 m3/m2</t>
  </si>
  <si>
    <t xml:space="preserve">Nabava, vgradnja in montaža </t>
  </si>
  <si>
    <t xml:space="preserve">Svetla višina jaška </t>
  </si>
  <si>
    <t xml:space="preserve">Jašek  </t>
  </si>
  <si>
    <t xml:space="preserve">Jašek iz vodonepropustnega,  </t>
  </si>
  <si>
    <t>armiranega betona C45/55 XA2T  skladno</t>
  </si>
  <si>
    <t>s standardi (DIN 4281,DIN 1046);</t>
  </si>
  <si>
    <t xml:space="preserve">jašek sestavljen iz monolitnega dna </t>
  </si>
  <si>
    <t xml:space="preserve">in ploščo  dimenzionirano na </t>
  </si>
  <si>
    <t xml:space="preserve">prometno obtežbo (SLW 30 ) </t>
  </si>
  <si>
    <t xml:space="preserve">in zaščitnim premazom za agresivno </t>
  </si>
  <si>
    <t>okolje Ph 3,5-14 npr. MC-RIM.</t>
  </si>
  <si>
    <t>kot npr. WET</t>
  </si>
  <si>
    <t xml:space="preserve">Pokrov </t>
  </si>
  <si>
    <t xml:space="preserve">Pokrov iz nerjavečega jekla </t>
  </si>
  <si>
    <t>ključavnico, vgrajen v krovno ploščo</t>
  </si>
  <si>
    <t xml:space="preserve">dimenzije pokrova prilagoditi </t>
  </si>
  <si>
    <t>črpalkam!</t>
  </si>
  <si>
    <t xml:space="preserve">Dotok </t>
  </si>
  <si>
    <t xml:space="preserve">Odtok </t>
  </si>
  <si>
    <t>Izdelava preboja za cev DN 80</t>
  </si>
  <si>
    <t>vključno tesnilo DN 80</t>
  </si>
  <si>
    <t xml:space="preserve">Priključki (vključno preboji) </t>
  </si>
  <si>
    <t xml:space="preserve">Vsi priključki morajo biti vodotesni </t>
  </si>
  <si>
    <t xml:space="preserve">ter zatesnjeni </t>
  </si>
  <si>
    <t>DN 100 za prezračevanje</t>
  </si>
  <si>
    <t>dA 75 za elektro kable</t>
  </si>
  <si>
    <t>sidrni vijaki 4xM16 z ampulami za sidranje</t>
  </si>
  <si>
    <t>Zasun DN 80, PN 16 s prirobnicami</t>
  </si>
  <si>
    <t>epoksi zaščita</t>
  </si>
  <si>
    <t>skupaj</t>
  </si>
  <si>
    <t>eur</t>
  </si>
  <si>
    <t>Nabava in vgraditev fazonskih kosov</t>
  </si>
  <si>
    <t>in armature</t>
  </si>
  <si>
    <t>FFR DN 80/DN 100 PN 10</t>
  </si>
  <si>
    <t>varilna spojka dA 110 SDR 11 s prosto</t>
  </si>
  <si>
    <t>prirobnico</t>
  </si>
  <si>
    <t xml:space="preserve">Dobava in vgraditev cevi iz </t>
  </si>
  <si>
    <t xml:space="preserve">AISI 304 PN 10 - mere </t>
  </si>
  <si>
    <t xml:space="preserve">prilagoditi na licu mesta, vključno </t>
  </si>
  <si>
    <t>prirobnice</t>
  </si>
  <si>
    <t>Dobava in vgraditev krogelnega</t>
  </si>
  <si>
    <t xml:space="preserve">ventila PN 16 DN 50 za fekalne </t>
  </si>
  <si>
    <t>odplake, C priključka s pokrovom ter</t>
  </si>
  <si>
    <t xml:space="preserve">priključka 1/2" za kompresor, koleno </t>
  </si>
  <si>
    <t xml:space="preserve">DN 50 </t>
  </si>
  <si>
    <t>na tlačni cevovod v črpališču</t>
  </si>
  <si>
    <t>z vsem potrebnim materialom</t>
  </si>
  <si>
    <t xml:space="preserve">Nalaganje, dovoz do 1.0 km in </t>
  </si>
  <si>
    <t xml:space="preserve">z izkopanim materialom </t>
  </si>
  <si>
    <t>Nalaganje in odvoz odvečnega</t>
  </si>
  <si>
    <t>materiala na deponijo do 10 km</t>
  </si>
  <si>
    <t>L=4,00 m</t>
  </si>
  <si>
    <t>material: AISI 304</t>
  </si>
  <si>
    <t>ME</t>
  </si>
  <si>
    <t>(dobava in montaža )</t>
  </si>
  <si>
    <t>varovalni element 00.ST6 kpl. z varovalkami  1x3x20A</t>
  </si>
  <si>
    <t xml:space="preserve">direktni trifazni dvosmerni števec delovne energije in jalove energije z notranjo uro razreda točnosti A za delovno energijo in 2 za jalovo energijo z G3-PLC komunikacijskim vmesnikom </t>
  </si>
  <si>
    <t>odvodnik prenapetosti
razred I
Uc=275V, Up&lt;1,2 kV, 
Iimp=12,5 kA, 10/350 µs
komplet z ozemljitveno šino (kot npr. ETITEC B, ETI)</t>
  </si>
  <si>
    <t>napisne ploščice, oznake ter drobni in vezni material</t>
  </si>
  <si>
    <t>RAZDELILNIK SKUPAJ:</t>
  </si>
  <si>
    <t>OSTALI MATERIAL IN DELA</t>
  </si>
  <si>
    <t>OSTALI MATERIAL IN DELA skupaj :</t>
  </si>
  <si>
    <t>NEPREDVIDENA DELA  (5%)</t>
  </si>
  <si>
    <t>NADZOR ELEKTRODISTRIBUCIJE IN STIKALNE MANIPULACIJE PRI PRIKLOPU OBJEKTA</t>
  </si>
  <si>
    <t>POVPREČNI STROŠKI PRIKLJUČEVANJA (ELEKTROENERGETSKI PRISPEVEK) 1x3x20 A varovalka</t>
  </si>
  <si>
    <t>STROŠKI UREDITVE DOKUMENTACIJE ZA PRIKLJUČITEV NA EE OMREŽJE PO PREDHODNO PRIDOBLJENEM POOBLASTILU S STRANI INVESTITORJA</t>
  </si>
  <si>
    <t>PREGLED, PREIZKUS in MERITVE ZAŠČITE PROTI UDARU ELEKTRIČNEGA TOKA, IZOLACIJSKE TRDNOSTI KABELSKIH VODNIKOV, GALVANSKIH POVEZAV KOVINSKIH MAS IN  PONIKALNE UPORNOSTI OZEMLJITVE TER IZDAJA USTREZNE DOKUMENTACIJE V SKLADU S PREDPISI IN PROTOKOLI</t>
  </si>
  <si>
    <t>PROJEKTANTSKI NADZOR</t>
  </si>
  <si>
    <t xml:space="preserve">IZDELAVA NAČRTA PID </t>
  </si>
  <si>
    <t>OBJEKT: IZGRADNJA MANJKAJOČE JAVNE INFRASTRUKTURE ZA ODVAJANJE IN ČIŠČENJE ODPADNIH VODA V AGLOMERACIJI ŠTORE - NAD STOLARNO-RAZGLEDNA ULICA</t>
  </si>
  <si>
    <t>II./ Kanal ŠTORE 04-1</t>
  </si>
  <si>
    <t>III./ Kanal  ŠTORE 04-1.1</t>
  </si>
  <si>
    <t>IV./ Kanal ŠTORE 04-2</t>
  </si>
  <si>
    <t>V./ Kanal ŠTORE 04-2.1</t>
  </si>
  <si>
    <t>VI./ Tlačni kanal 04-T1</t>
  </si>
  <si>
    <t>VII./ Črpališče Č4</t>
  </si>
  <si>
    <t>VII-I./ Elektro oprema črpališča Č4</t>
  </si>
  <si>
    <t>VII-II./ Elektro NN priključek Č4</t>
  </si>
  <si>
    <t>VIII./ Zaključna dela</t>
  </si>
  <si>
    <t>VIII./ OSTALA DELA</t>
  </si>
  <si>
    <t>VIII./</t>
  </si>
  <si>
    <t>(72.90*1,25)</t>
  </si>
  <si>
    <t>H=3,40 m:</t>
  </si>
  <si>
    <t>kd</t>
  </si>
  <si>
    <t>Izdelava preboja za cev PP DN 200</t>
  </si>
  <si>
    <t>vključno tesnilo DN 200</t>
  </si>
  <si>
    <t>FF DN 80   L=900 MM</t>
  </si>
  <si>
    <t xml:space="preserve">T kos DN 80 s koleni 90 st (2kd) in </t>
  </si>
  <si>
    <t>prirobnicami (3 kd)</t>
  </si>
  <si>
    <t>zasip jarka po končanih delih</t>
  </si>
  <si>
    <t>14*1,25</t>
  </si>
  <si>
    <t>Nabava in vgraditev betona C30/37 v</t>
  </si>
  <si>
    <t>AB konstrukcijo (zaščita proti vzgonu),</t>
  </si>
  <si>
    <t>kompletno z opaženjem</t>
  </si>
  <si>
    <t>Nabava in vgraditev armature</t>
  </si>
  <si>
    <t>do fi 12</t>
  </si>
  <si>
    <t>nad fi 12</t>
  </si>
  <si>
    <t>S 500 B</t>
  </si>
  <si>
    <t>Fekalno črpališče Č4:</t>
  </si>
  <si>
    <t>VII./ Fekalno črpališče Č4</t>
  </si>
  <si>
    <t xml:space="preserve">RAZDELILNIK PS-PMO </t>
  </si>
  <si>
    <t xml:space="preserve">Prirpava prostoro za vgradnjo v obstoječi razdelilec merilnega mesta </t>
  </si>
  <si>
    <t>Sponke VS 16 mm2 komplet z nosilno letvijo in končnimi nosilci</t>
  </si>
  <si>
    <t>Sponke VS 50 mm2 komplet z nosilno letvijo in končnimi nosilci</t>
  </si>
  <si>
    <t>N zbiralka</t>
  </si>
  <si>
    <t>Izdelava cevnega izvoda iz razdelilca PSMO s cevjo fi 75mm z rezanjem betona temelja in ponovnim obbetoniranjem</t>
  </si>
  <si>
    <t>Izdelava povezave med obstoječim dovodom in novim varovalnim elementom za novi odvod</t>
  </si>
  <si>
    <t>Elektro oprema črpališča Č4 SKUPAJ (brez DDV)</t>
  </si>
  <si>
    <t xml:space="preserve"> Elektro NN priključek Č4 SKUPAJ (brez DDV)</t>
  </si>
  <si>
    <t xml:space="preserve">Kompletna izdelava zračnika za črpališče iz cevi DN 100 PN 10 AISI304 v sestavi :cev L=2,50 m, koleno 90 st. in ventilacijska kapa </t>
  </si>
  <si>
    <t xml:space="preserve">1000 x 1500, klasa C 250 kN z </t>
  </si>
  <si>
    <r>
      <t xml:space="preserve">jaška za črpalke </t>
    </r>
    <r>
      <rPr>
        <b/>
        <sz val="12"/>
        <rFont val="Arial Narrow"/>
        <family val="2"/>
        <charset val="238"/>
      </rPr>
      <t>DN 2000 mm:</t>
    </r>
    <r>
      <rPr>
        <sz val="12"/>
        <rFont val="Arial Narrow"/>
        <family val="2"/>
        <charset val="238"/>
      </rPr>
      <t xml:space="preserve"> </t>
    </r>
  </si>
  <si>
    <t>Rušenje in odstranitev tlaka iz betonskih tlakovcev, travnih plošč ali kamna na betonski podlagi, vključno s plačilom vseh komunalnih pristojbin za deponiranje.</t>
  </si>
  <si>
    <t>Odstranitev bet. plošč s ponovnim polaganjem  po konćani gradnji na peščeno posteljico d=5 cm z vsemi deli in potrebnim materialom</t>
  </si>
  <si>
    <t xml:space="preserve">Dobava, transport peska in izdelava peščene posteljice iz dobavljenega materiala (4-8 mm) po navodilih nadzora, debeline 12 cm, v predvidenem nagibu, po celotni širini jarka                                       </t>
  </si>
  <si>
    <t>Valjanje in planiranje planuma ceste - makadam</t>
  </si>
  <si>
    <t>FFK 30° DN 100</t>
  </si>
  <si>
    <t>Nabava, transport, namestitev in montaža prefabriciranih AB DN 1000 jaškov z reduciranim konusom 600 mm in nastavkom za PP cevi DN 200 ter tovarniško izdelano muldo. Stikovanje betonskih cevi jaška se izvede z integriranim tesnilom. V ceni upoštevati dodatni izkop na mestih jaškov, planiranje in utrjevanje dna, izdelava bet. ležišča C12/15 d=15 cm. Nabava in montaža betonskega konusnega okvirja s  pokrovom fi 600mm, 400 kN, s protihrupnim tesnilom in zaklepom. Pokrovi se lepijo na betonski okvir z ustreznim lepilom.  Pokrovi morajo biti zračni. Betonski venci se morajo obbetonirati. Jaški morajo imeti atest proti vzgonu. (npr. kot jaški tip NIVO skladen s SIST EN 1917).</t>
  </si>
  <si>
    <t>Izvedba priključka tlačnega kanala na jašek J1 s kronsko navrtavo za cev PE d110 in vstavitvijo gumi tesnila, vključno z vsem potrebnim delom in materialom.</t>
  </si>
  <si>
    <t>Nabava in vgraditev zaščitnih cevi PE 100 dA 280 SDR 17 L=6.00 m za izvedbo križanja z vodovodom, vključno z vsemi potrebnimi deli in materialom.</t>
  </si>
  <si>
    <t>TLAČNI KANAL 04-T1 SKUPAJ :</t>
  </si>
  <si>
    <t>Pinstal komplet (zaklep DN 80, tesnilo</t>
  </si>
  <si>
    <t>vijaki, matice)</t>
  </si>
  <si>
    <t>motorni kabel S3x2,5/3+S(4x0,5)-10 m</t>
  </si>
  <si>
    <t xml:space="preserve">kos </t>
  </si>
  <si>
    <t>držalo kabla 1-27 mm</t>
  </si>
  <si>
    <t>Tlačno koleno DN 80 PN 16, vodila 2", s prirobnico po ISO 7005-2</t>
  </si>
  <si>
    <t>Zg. Držalo vodil iz SS AISI316 s pritrdilnim kpl</t>
  </si>
  <si>
    <r>
      <t xml:space="preserve">Vodila 2" iz SS AISI 304 - </t>
    </r>
    <r>
      <rPr>
        <b/>
        <sz val="12"/>
        <rFont val="Arial Narrow"/>
        <family val="2"/>
      </rPr>
      <t>dobavi montažer</t>
    </r>
  </si>
  <si>
    <t>Vponka iz SS AISI316 nosilnost 900 kg</t>
  </si>
  <si>
    <t>Nepovratni kroglični ventil DN 80 PN 16 s prirobnicama po ISO 7005-2</t>
  </si>
  <si>
    <t>Zasun DN 80 PN 16 s prirobnicama po ISO 7005-2</t>
  </si>
  <si>
    <t>Veriga iz SS AISI316, nosil. 500 kg, dolžine 9 m</t>
  </si>
  <si>
    <t>KANAL ŠTORE 04-2</t>
  </si>
  <si>
    <t>5.1</t>
  </si>
  <si>
    <r>
      <t>Strojni izkop jarka v zemljini III</t>
    </r>
    <r>
      <rPr>
        <sz val="10"/>
        <rFont val="Arial"/>
        <family val="2"/>
        <charset val="238"/>
      </rPr>
      <t xml:space="preserve">. - IV. ktg, široki z odlaganjem ob gradbeni jami skladno s predpisi           </t>
    </r>
  </si>
  <si>
    <t>KANAL ŠTORE 04-2 SKUPAJ:</t>
  </si>
  <si>
    <t>1.1</t>
  </si>
  <si>
    <t>Strojni izkop humusa v debelini 20 cm z odlaganjem ob gradbeni jami za kasnejšo uporabo pri humusiranju.</t>
  </si>
  <si>
    <t>Humusiranje travnih površin s poprej odstranjenim humusom ter razplaniranje viška humusa ob trasi.</t>
  </si>
  <si>
    <t>H =2.00-3.00 m  umirjevalni</t>
  </si>
  <si>
    <t>12.1</t>
  </si>
  <si>
    <t>KANAL ŠTORE 04-1</t>
  </si>
  <si>
    <t>KANAL ŠTORE 04-1 SKUPAJ:</t>
  </si>
  <si>
    <t xml:space="preserve">Rušenje bet. robnikov 5/20  z nakladanjem in odvozom na odlagališče gradbenih odpadkov vključno s stroški deponiranja </t>
  </si>
  <si>
    <t>Odstranitev obst. ograje iz betonskih stebrov in žičnega pletiva z odvozom na odlagališče gradbenih odpadkov vključno s stroški deponiranja</t>
  </si>
  <si>
    <t>Nalaganje in odvoz odvečnega materiala na začasni deponiji na stalno deponijo do 10 km vključno s stroški deponiranja. 824,61*1,25</t>
  </si>
  <si>
    <t>22</t>
  </si>
  <si>
    <t>Dobava, transport  in vgradnja ravnih betonskih cestnih robnikov 5/20 cm z betonskim temeljem. Robniki izdelani iz zmrzlinsko odpornega betona XF4 in stopnje obrusa XB2.</t>
  </si>
  <si>
    <t>Dobava, transport in vgradnja tlaka iz betonskih  tlakovcev na mestih predhodno odstranjenega tlaka (tlak enak odstranjenemu), vključno z izvedbo bet. podlage - na območju individualnih priključkov</t>
  </si>
  <si>
    <t>Dobava, in vgradnja ograje iz betonskih stebrov in žične mreže (enaka obstoječi) u vsemi potrebnimi deli in materialom.</t>
  </si>
  <si>
    <t>KANAL ŠTORE 04-1.1</t>
  </si>
  <si>
    <t>KANAL ŠTORE 04-1.1 SKUPAJ:</t>
  </si>
  <si>
    <r>
      <t>Strojni ročni (60-40%)izkop jarka v zemljini III</t>
    </r>
    <r>
      <rPr>
        <sz val="10"/>
        <rFont val="Arial"/>
        <family val="2"/>
        <charset val="238"/>
      </rPr>
      <t xml:space="preserve">. - IV. ktg, vertikalni z razpiranjem in nalaganjem na vozilo ter odvozom na gradbiščno deponijo, vključno s stroški deponiranja.          </t>
    </r>
  </si>
  <si>
    <t>Odtranitev okrasnega grmovja</t>
  </si>
  <si>
    <t>Odtranitev cipres</t>
  </si>
  <si>
    <t>Nalaganje in odvoz odvečnega materiala na začasni deponiji na stalno deponijo do 10 km vključno s stroški deponiranja. 20,58*1,25</t>
  </si>
  <si>
    <t>Nabava in vgraditev zaščitnih cevi PVC DN 300 SN8 z obbetoniranjem C12/15 L=3.00 m za izvedbo križanja, vključno z vsemi potrebnimi deli in materialom.</t>
  </si>
  <si>
    <t>KANAL ŠTORE 04-2.1 SKUPAJ:</t>
  </si>
  <si>
    <t>KANAL ŠTORE 04-2.1</t>
  </si>
  <si>
    <t xml:space="preserve">Rušenje bet. robnikov 10/20  z nakladanjem in odvozom na odlagališče gradbenih odpadkov vključno s stroški deponiranja </t>
  </si>
  <si>
    <t>Nalaganje in odvoz odvečnega materiala na začasni deponiji na stalno deponijo do 10 km vključno s stroški deponiranja. 49,76*1,25</t>
  </si>
  <si>
    <t>Dobava, transport  in vgradnja ravnih betonskih cestnih robnikov 10/20 cm z betonskim temeljem. Robniki izdelani iz zmrzlinsko odpornega betona XF4 in stopnje obrusa XB2.</t>
  </si>
  <si>
    <t xml:space="preserve">Strojni zasip jarka z izkopanim materialom (izkopan obstoječ tampon, frezanec) z izločevanjem kamenja nad fi 10 cm oz. po navodilih nadzora, s komprimacijo v plasteh do predpisane zbitosti 95% asfaltne površine 92% zelene površine (po SPP). </t>
  </si>
  <si>
    <t>Nalaganje in odvoz odvečnega materiala na začasni deponiji na stalno deponijo do 10 km vključno s stroški deponiranja. 1426,89*1,25</t>
  </si>
  <si>
    <t>Nalaganje in odvoz odvečnega materiala na začasni deponiji na stalno deponijo do 10 km vključno s stroški deponiranja 21,15*1,25</t>
  </si>
  <si>
    <t xml:space="preserve">Dobava in vgraditev PE 100 d110 x 6,6 SDFR 17  </t>
  </si>
  <si>
    <t>Posip in uvaljanje bankine š=0.50 m s peskom</t>
  </si>
  <si>
    <t>23</t>
  </si>
  <si>
    <t>24</t>
  </si>
  <si>
    <t>VII.</t>
  </si>
  <si>
    <t>PRIPRAVLJALNA DELA SKUPAJ</t>
  </si>
  <si>
    <t>I./  PRIPRAVLJALNA DELA</t>
  </si>
  <si>
    <r>
      <t xml:space="preserve">Izdelava elaborata in pridobivanje dovoljenj za zaporo ceste, ureditev prometnega režima v času gradnje, postavitev ter vzdrževanje cestno prometne signalizacije z obveščanjem uporabnikov ceste v skladu z upravljalcem ceste ter odstranitev prometne signalizacije po končani gradnji z vzporeditvijo prvotnega stanja. Zavarovanje gradbišča s predpisano signalizacijo kot so letve, opozorilne vrvice, znaki, svetlobna telesa med gradnjo...  </t>
    </r>
    <r>
      <rPr>
        <b/>
        <sz val="10"/>
        <rFont val="Arial"/>
        <family val="2"/>
      </rPr>
      <t>Za vsa dela na območju gradbišča podprojekta Stolarna Štore.</t>
    </r>
  </si>
  <si>
    <r>
      <t xml:space="preserve">Priprava in organizacija gradbišča z gradbiščno tablo vključno z vsemi potrebnimi deli in obratovalnimi stroški gradbišča. V tej postavki je potrebno zajeti tudi stroške začasnih dovoznih poti ter vzpostavitev v prvotno stanje. Izvajalec si mora ogledati predvideno traso in v to postavko vključiti vsa potrebna dela pri organizaciji, pripravi, zavarovanju in čiščenju gradbišča. </t>
    </r>
    <r>
      <rPr>
        <b/>
        <sz val="10"/>
        <rFont val="Arial"/>
        <family val="2"/>
      </rPr>
      <t xml:space="preserve"> Za vsa dela na območju gradbišča podprojekta Stolarna Štore.</t>
    </r>
  </si>
  <si>
    <r>
      <t xml:space="preserve">Preverba podatkov, detekcija, odkrivanje ter trasna in višinska zakoličba vseh komunalnih in energetskih vodov ter oznaka križanj na predvideni dolžini izgradnje, vključno s stroški nadzora pri prečkanju komunalnih vodov.  </t>
    </r>
    <r>
      <rPr>
        <b/>
        <sz val="10"/>
        <rFont val="Arial"/>
        <family val="2"/>
      </rPr>
      <t>Za vsa dela na območju gradbišča podprojekta Stolarna Štore.</t>
    </r>
  </si>
  <si>
    <t>Dobava in polaganje tlačnih kanalizacijskih cevi kot npr. SLM 2.0 PE 100 dA 110 x 6,6  SDR 17</t>
  </si>
  <si>
    <t xml:space="preserve">plinskimi batnimi blažilci in </t>
  </si>
  <si>
    <t>črpališča</t>
  </si>
  <si>
    <t>8a</t>
  </si>
  <si>
    <t>Dobava, transport in montaža vmesnika, ki omogoča priključitev prenosnega računalnika s katerim lahko pregledamo vse podatke o delovanju črpalke (zgodovina) in nastavljamo parametre črpalke in se vgradi v elektro omarico črpališča.</t>
  </si>
  <si>
    <t xml:space="preserve">Nabava in vgraditev karabin lestve z </t>
  </si>
  <si>
    <t xml:space="preserve">varovalom in vstopnim drogom </t>
  </si>
  <si>
    <r>
      <t xml:space="preserve">Izdelava PID-a ter dokazila o zanesljivosti objekta. Investitorju je potrebno predati dokumentacijo v </t>
    </r>
    <r>
      <rPr>
        <b/>
        <sz val="10"/>
        <rFont val="Arial"/>
        <family val="2"/>
        <charset val="238"/>
      </rPr>
      <t>treh izvodih za vse kanale in črpališče</t>
    </r>
  </si>
  <si>
    <r>
      <t xml:space="preserve">Dobava, transport in montaža litoželezne potopne-pametne samočistilne črpalke za odpadno vodo in blato DN 80mm. Črpalka ima vgrajen sinhronski IE4 elektro motor, moči 2,2 kW z vgrajeno frekfenčno regulacijo. V črpalki je vgrajen procesor, ki zazna zamašenost črpalke in sproži proces samoočiščenja. Črpalka ima na gredi vgrajen dvolopatični samočistilni prilagodljivi pomični N črpalni rotor. Po detekciji zamašitve rotorja se samodejno prične program odmašitve, ki vključuje premik na gredi (povečanje prehoda), s spremembo obratov in smeri vrtenja (naprej-nazaj). Črpalka dopušča možnost spremembe Q-H krivulje.
</t>
    </r>
    <r>
      <rPr>
        <b/>
        <sz val="12"/>
        <rFont val="Arial Narrow"/>
        <family val="2"/>
        <charset val="238"/>
      </rPr>
      <t>Qč= 6,0 l/s, Hč= 2,2mVS</t>
    </r>
  </si>
  <si>
    <t>OPOMBA: V postavkah del za izdelavo PID-a ponudnik upošteva tudi Izdelavo BCP obrazcev - banke cestnih podatkov skladno s Pravilnikom o načinu označevanja javnih cest, evidencah in objektih na njih, za vse rekonstruirane ceste, kjer kanalizacija poteka v cesti.</t>
  </si>
  <si>
    <t>OPOMBA: V postavkah del za pripravo in organizacijo gradbišča ponudnik upošteva tudi morebitne geodetske vzpostavitve mejnikov, ki so bili med gradnjo odstranjeni.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</si>
</sst>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 #,##0.00\ &quot;€&quot;_-;\-* #,##0.00\ &quot;€&quot;_-;_-* &quot;-&quot;??\ &quot;€&quot;_-;_-@_-"/>
    <numFmt numFmtId="164" formatCode="_-* #,##0.00\ &quot;SIT&quot;_-;\-* #,##0.00\ &quot;SIT&quot;_-;_-* &quot;-&quot;??\ &quot;SIT&quot;_-;_-@_-"/>
    <numFmt numFmtId="165" formatCode="_-* #,##0.00\ _S_I_T_-;\-* #,##0.00\ _S_I_T_-;_-* &quot;-&quot;??\ _S_I_T_-;_-@_-"/>
    <numFmt numFmtId="166" formatCode="General_)"/>
    <numFmt numFmtId="167" formatCode="#,##0.00\ _S_I_T"/>
    <numFmt numFmtId="168" formatCode="_-* #,##0.00\ _S_I_T_-;\-* #,##0.00\ _S_I_T_-;_-* \-??\ _S_I_T_-;_-@_-"/>
    <numFmt numFmtId="169" formatCode="#,##0.00\ &quot;SIT&quot;;\-#,##0.00\ &quot;SIT&quot;"/>
    <numFmt numFmtId="170" formatCode="#,##0.00\ [$€-1]"/>
    <numFmt numFmtId="171" formatCode="#,##0.00_ ;\-#,##0.00\ "/>
    <numFmt numFmtId="172" formatCode="0.#"/>
    <numFmt numFmtId="173" formatCode="0."/>
    <numFmt numFmtId="174" formatCode="0.0_)"/>
    <numFmt numFmtId="175" formatCode="0.00_)"/>
  </numFmts>
  <fonts count="66">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font>
    <font>
      <b/>
      <sz val="12"/>
      <name val="Arial"/>
      <family val="2"/>
      <charset val="238"/>
    </font>
    <font>
      <b/>
      <sz val="11"/>
      <name val="Arial"/>
      <family val="2"/>
      <charset val="238"/>
    </font>
    <font>
      <sz val="10"/>
      <name val="Arial"/>
      <family val="2"/>
      <charset val="238"/>
    </font>
    <font>
      <b/>
      <sz val="13"/>
      <name val="Arial"/>
      <family val="2"/>
      <charset val="238"/>
    </font>
    <font>
      <sz val="12"/>
      <name val="Courier"/>
      <family val="1"/>
      <charset val="238"/>
    </font>
    <font>
      <sz val="10"/>
      <name val="Arial CE"/>
      <family val="2"/>
      <charset val="238"/>
    </font>
    <font>
      <sz val="10"/>
      <name val="Arial CE"/>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sz val="10"/>
      <name val="Arial CE"/>
    </font>
    <font>
      <sz val="11"/>
      <name val="Times New Roman CE"/>
      <charset val="238"/>
    </font>
    <font>
      <sz val="12"/>
      <name val="Times New Roman"/>
      <family val="1"/>
      <charset val="238"/>
    </font>
    <font>
      <sz val="12"/>
      <name val="Courier"/>
      <family val="3"/>
    </font>
    <font>
      <sz val="10"/>
      <name val="Century Gothic CE"/>
      <family val="2"/>
      <charset val="238"/>
    </font>
    <font>
      <sz val="10"/>
      <name val="Arial"/>
      <family val="2"/>
    </font>
    <font>
      <sz val="11"/>
      <name val="Arial"/>
      <family val="2"/>
      <charset val="238"/>
    </font>
    <font>
      <b/>
      <sz val="10"/>
      <name val="Arial"/>
      <family val="2"/>
    </font>
    <font>
      <vertAlign val="superscript"/>
      <sz val="10"/>
      <name val="Arial"/>
      <family val="2"/>
    </font>
    <font>
      <b/>
      <i/>
      <sz val="10"/>
      <name val="Arial"/>
      <family val="2"/>
    </font>
    <font>
      <b/>
      <i/>
      <sz val="10"/>
      <name val="Arial"/>
      <family val="2"/>
      <charset val="238"/>
    </font>
    <font>
      <sz val="12"/>
      <name val="Arial"/>
      <family val="2"/>
      <charset val="238"/>
    </font>
    <font>
      <b/>
      <sz val="10"/>
      <name val="Arial"/>
      <family val="2"/>
      <charset val="238"/>
    </font>
    <font>
      <sz val="14"/>
      <name val="Arial"/>
      <family val="2"/>
    </font>
    <font>
      <b/>
      <sz val="14"/>
      <name val="Arial"/>
      <family val="2"/>
    </font>
    <font>
      <sz val="11"/>
      <name val="Arial"/>
      <family val="2"/>
    </font>
    <font>
      <sz val="11"/>
      <name val="Calibri"/>
      <family val="2"/>
      <charset val="238"/>
      <scheme val="minor"/>
    </font>
    <font>
      <sz val="8"/>
      <name val="Arial CE"/>
      <family val="2"/>
      <charset val="238"/>
    </font>
    <font>
      <sz val="10"/>
      <color theme="0"/>
      <name val="Arial"/>
      <family val="2"/>
    </font>
    <font>
      <sz val="12"/>
      <name val="Arial Narrow"/>
      <family val="2"/>
      <charset val="238"/>
    </font>
    <font>
      <b/>
      <sz val="12"/>
      <name val="Arial Narrow"/>
      <family val="2"/>
      <charset val="238"/>
    </font>
    <font>
      <b/>
      <i/>
      <sz val="12"/>
      <name val="Arial Narrow"/>
      <family val="2"/>
    </font>
    <font>
      <b/>
      <i/>
      <u/>
      <sz val="12"/>
      <name val="Arial Narrow"/>
      <family val="2"/>
      <charset val="238"/>
    </font>
    <font>
      <b/>
      <sz val="12"/>
      <name val="Arial Narrow"/>
      <family val="2"/>
    </font>
    <font>
      <sz val="12"/>
      <color rgb="FFFF0000"/>
      <name val="Arial Narrow"/>
      <family val="2"/>
      <charset val="238"/>
    </font>
    <font>
      <sz val="12"/>
      <color indexed="10"/>
      <name val="Arial Narrow"/>
      <family val="2"/>
      <charset val="238"/>
    </font>
    <font>
      <sz val="11"/>
      <name val="Arial Narrow"/>
      <family val="2"/>
      <charset val="238"/>
    </font>
    <font>
      <b/>
      <i/>
      <sz val="11"/>
      <name val="Arial"/>
      <family val="2"/>
      <charset val="238"/>
    </font>
    <font>
      <b/>
      <sz val="8"/>
      <name val="Arial"/>
      <family val="2"/>
      <charset val="238"/>
    </font>
    <font>
      <b/>
      <sz val="9"/>
      <name val="Arial"/>
      <family val="2"/>
      <charset val="238"/>
    </font>
    <font>
      <sz val="11"/>
      <name val="Times New Roman"/>
      <family val="1"/>
      <charset val="238"/>
    </font>
    <font>
      <i/>
      <sz val="10"/>
      <name val="Arial"/>
      <family val="2"/>
      <charset val="238"/>
    </font>
    <font>
      <b/>
      <sz val="12"/>
      <name val="Arial CE"/>
    </font>
    <font>
      <b/>
      <sz val="12"/>
      <name val="Arial"/>
      <family val="2"/>
    </font>
    <font>
      <sz val="8"/>
      <name val="Arial"/>
      <family val="2"/>
    </font>
    <font>
      <b/>
      <sz val="9"/>
      <name val="Arial"/>
      <family val="2"/>
    </font>
  </fonts>
  <fills count="36">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4FFB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43"/>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C000"/>
        <bgColor indexed="64"/>
      </patternFill>
    </fill>
    <fill>
      <patternFill patternType="solid">
        <fgColor rgb="FFFFFFCC"/>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9" tint="0.39997558519241921"/>
        <bgColor indexed="64"/>
      </patternFill>
    </fill>
  </fills>
  <borders count="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medium">
        <color indexed="64"/>
      </right>
      <top/>
      <bottom/>
      <diagonal/>
    </border>
  </borders>
  <cellStyleXfs count="242">
    <xf numFmtId="0" fontId="0"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6" fontId="10"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6" fontId="10" fillId="0" borderId="0"/>
    <xf numFmtId="166" fontId="10" fillId="0" borderId="0"/>
    <xf numFmtId="0" fontId="12" fillId="0" borderId="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4" fillId="19"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5" fillId="11" borderId="0" applyNumberFormat="0" applyBorder="0" applyAlignment="0" applyProtection="0"/>
    <xf numFmtId="0" fontId="16" fillId="23" borderId="19" applyNumberFormat="0" applyAlignment="0" applyProtection="0"/>
    <xf numFmtId="0" fontId="17" fillId="0" borderId="0" applyNumberFormat="0" applyFill="0" applyBorder="0" applyAlignment="0" applyProtection="0"/>
    <xf numFmtId="0" fontId="18" fillId="0" borderId="20" applyNumberFormat="0" applyFill="0" applyAlignment="0" applyProtection="0"/>
    <xf numFmtId="0" fontId="19" fillId="0" borderId="21" applyNumberFormat="0" applyFill="0" applyAlignment="0" applyProtection="0"/>
    <xf numFmtId="0" fontId="20" fillId="0" borderId="22" applyNumberFormat="0" applyFill="0" applyAlignment="0" applyProtection="0"/>
    <xf numFmtId="0" fontId="20" fillId="0" borderId="0" applyNumberFormat="0" applyFill="0" applyBorder="0" applyAlignment="0" applyProtection="0"/>
    <xf numFmtId="0" fontId="21" fillId="24" borderId="0" applyNumberFormat="0" applyBorder="0" applyAlignment="0" applyProtection="0"/>
    <xf numFmtId="0" fontId="12" fillId="25" borderId="23"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9" borderId="0" applyNumberFormat="0" applyBorder="0" applyAlignment="0" applyProtection="0"/>
    <xf numFmtId="0" fontId="24" fillId="0" borderId="24" applyNumberFormat="0" applyFill="0" applyAlignment="0" applyProtection="0"/>
    <xf numFmtId="0" fontId="25" fillId="30" borderId="25" applyNumberFormat="0" applyAlignment="0" applyProtection="0"/>
    <xf numFmtId="0" fontId="26" fillId="23" borderId="26" applyNumberFormat="0" applyAlignment="0" applyProtection="0"/>
    <xf numFmtId="0" fontId="27" fillId="10" borderId="0" applyNumberFormat="0" applyBorder="0" applyAlignment="0" applyProtection="0"/>
    <xf numFmtId="0" fontId="11" fillId="0" borderId="0"/>
    <xf numFmtId="0" fontId="28" fillId="14" borderId="26" applyNumberFormat="0" applyAlignment="0" applyProtection="0"/>
    <xf numFmtId="0" fontId="29" fillId="0" borderId="27" applyNumberFormat="0" applyFill="0" applyAlignment="0" applyProtection="0"/>
    <xf numFmtId="164" fontId="8" fillId="0" borderId="0" applyFont="0" applyFill="0" applyBorder="0" applyAlignment="0" applyProtection="0"/>
    <xf numFmtId="4" fontId="30" fillId="0" borderId="0"/>
    <xf numFmtId="166" fontId="10" fillId="0" borderId="0"/>
    <xf numFmtId="164" fontId="4" fillId="0" borderId="0" applyFont="0" applyFill="0" applyBorder="0" applyAlignment="0" applyProtection="0"/>
    <xf numFmtId="167" fontId="31" fillId="0" borderId="0"/>
    <xf numFmtId="0" fontId="13" fillId="0" borderId="0"/>
    <xf numFmtId="0" fontId="32" fillId="0" borderId="0"/>
    <xf numFmtId="167" fontId="31" fillId="0" borderId="0"/>
    <xf numFmtId="9" fontId="4" fillId="0" borderId="0" applyFont="0" applyFill="0" applyBorder="0" applyAlignment="0" applyProtection="0"/>
    <xf numFmtId="168" fontId="11" fillId="0" borderId="0" applyFill="0" applyBorder="0" applyAlignment="0" applyProtection="0"/>
    <xf numFmtId="166" fontId="33" fillId="0" borderId="0"/>
    <xf numFmtId="166" fontId="10" fillId="0" borderId="0"/>
    <xf numFmtId="0" fontId="30" fillId="0" borderId="0"/>
    <xf numFmtId="0" fontId="4" fillId="0" borderId="0"/>
    <xf numFmtId="164" fontId="4" fillId="0" borderId="0" applyFont="0" applyFill="0" applyBorder="0" applyAlignment="0" applyProtection="0"/>
    <xf numFmtId="166" fontId="10" fillId="0" borderId="0"/>
    <xf numFmtId="0" fontId="3" fillId="0" borderId="0"/>
    <xf numFmtId="0" fontId="8" fillId="0" borderId="0"/>
    <xf numFmtId="164" fontId="4" fillId="0" borderId="0" applyFont="0" applyFill="0" applyBorder="0" applyAlignment="0" applyProtection="0"/>
    <xf numFmtId="44" fontId="12" fillId="0" borderId="0" applyFont="0" applyFill="0" applyBorder="0" applyAlignment="0" applyProtection="0"/>
    <xf numFmtId="0" fontId="4" fillId="0" borderId="0"/>
    <xf numFmtId="0" fontId="4" fillId="0" borderId="0"/>
    <xf numFmtId="166" fontId="10" fillId="0" borderId="0"/>
    <xf numFmtId="0" fontId="4" fillId="0" borderId="0"/>
    <xf numFmtId="166" fontId="10" fillId="0" borderId="0"/>
    <xf numFmtId="166" fontId="10" fillId="0" borderId="0"/>
    <xf numFmtId="166" fontId="33" fillId="0" borderId="0"/>
    <xf numFmtId="0" fontId="30" fillId="0" borderId="0"/>
    <xf numFmtId="0" fontId="12" fillId="0" borderId="0"/>
    <xf numFmtId="0" fontId="4" fillId="0" borderId="0"/>
    <xf numFmtId="0" fontId="4" fillId="0" borderId="0"/>
    <xf numFmtId="0" fontId="4" fillId="0" borderId="0"/>
    <xf numFmtId="0" fontId="4" fillId="0" borderId="0"/>
    <xf numFmtId="167"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2" fillId="0" borderId="0" applyFont="0" applyFill="0" applyBorder="0" applyAlignment="0" applyProtection="0"/>
    <xf numFmtId="9" fontId="4" fillId="0" borderId="0" applyFont="0" applyFill="0" applyBorder="0" applyAlignment="0" applyProtection="0"/>
    <xf numFmtId="0" fontId="5" fillId="32" borderId="31" applyNumberFormat="0" applyFont="0" applyAlignment="0" applyProtection="0"/>
    <xf numFmtId="164" fontId="4" fillId="0" borderId="0" applyFont="0" applyFill="0" applyBorder="0" applyAlignment="0" applyProtection="0"/>
    <xf numFmtId="169" fontId="4" fillId="0" borderId="0" applyFont="0" applyFill="0" applyBorder="0" applyAlignment="0" applyProtection="0"/>
    <xf numFmtId="164"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4" fillId="0" borderId="0"/>
    <xf numFmtId="0" fontId="2" fillId="0" borderId="0"/>
    <xf numFmtId="164" fontId="4" fillId="0" borderId="0" applyFont="0" applyFill="0" applyBorder="0" applyAlignment="0" applyProtection="0"/>
    <xf numFmtId="0" fontId="2" fillId="0" borderId="0"/>
    <xf numFmtId="0" fontId="2" fillId="0" borderId="0"/>
    <xf numFmtId="0" fontId="12" fillId="0" borderId="0"/>
    <xf numFmtId="0" fontId="12" fillId="0" borderId="0"/>
    <xf numFmtId="0" fontId="12" fillId="0" borderId="0"/>
    <xf numFmtId="0" fontId="12" fillId="0" borderId="0"/>
    <xf numFmtId="0" fontId="12" fillId="0" borderId="0"/>
    <xf numFmtId="0" fontId="4" fillId="0" borderId="0"/>
    <xf numFmtId="0" fontId="2" fillId="0" borderId="0"/>
    <xf numFmtId="0" fontId="34" fillId="0" borderId="0"/>
    <xf numFmtId="44" fontId="12" fillId="0" borderId="0" applyFont="0" applyFill="0" applyBorder="0" applyAlignment="0" applyProtection="0"/>
    <xf numFmtId="164" fontId="35" fillId="0" borderId="0" applyFont="0" applyFill="0" applyBorder="0" applyAlignment="0" applyProtection="0"/>
    <xf numFmtId="0" fontId="1" fillId="0" borderId="0"/>
    <xf numFmtId="0" fontId="1" fillId="0" borderId="0"/>
    <xf numFmtId="0" fontId="35" fillId="0" borderId="0"/>
    <xf numFmtId="44" fontId="12"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4" fillId="0" borderId="0"/>
    <xf numFmtId="0" fontId="4" fillId="0" borderId="0">
      <alignment vertical="center"/>
    </xf>
    <xf numFmtId="0" fontId="12" fillId="0" borderId="0"/>
    <xf numFmtId="0" fontId="4" fillId="0" borderId="0"/>
    <xf numFmtId="0" fontId="4" fillId="0" borderId="0"/>
    <xf numFmtId="0" fontId="4" fillId="0" borderId="0" applyFill="0" applyBorder="0"/>
  </cellStyleXfs>
  <cellXfs count="548">
    <xf numFmtId="0" fontId="0" fillId="0" borderId="0" xfId="0"/>
    <xf numFmtId="0" fontId="0" fillId="0" borderId="0" xfId="0" applyAlignment="1">
      <alignment horizontal="center" vertical="top"/>
    </xf>
    <xf numFmtId="0" fontId="0" fillId="0" borderId="0" xfId="0" applyAlignment="1">
      <alignment horizontal="center"/>
    </xf>
    <xf numFmtId="2" fontId="0" fillId="0" borderId="0" xfId="0" applyNumberFormat="1" applyAlignment="1">
      <alignment horizontal="center"/>
    </xf>
    <xf numFmtId="0" fontId="0" fillId="0" borderId="0" xfId="0"/>
    <xf numFmtId="0" fontId="0" fillId="0" borderId="0" xfId="0" applyAlignment="1">
      <alignment horizontal="center" vertical="top"/>
    </xf>
    <xf numFmtId="2" fontId="0" fillId="0" borderId="0" xfId="0" applyNumberFormat="1" applyAlignment="1">
      <alignment horizontal="center"/>
    </xf>
    <xf numFmtId="0" fontId="6" fillId="0" borderId="2" xfId="0" applyFont="1" applyBorder="1"/>
    <xf numFmtId="0" fontId="6" fillId="0" borderId="1" xfId="0" applyFont="1" applyBorder="1" applyAlignment="1">
      <alignment horizontal="center" vertical="top"/>
    </xf>
    <xf numFmtId="0" fontId="6" fillId="0" borderId="9" xfId="0" applyFont="1" applyBorder="1" applyAlignment="1">
      <alignment horizontal="center" vertical="top"/>
    </xf>
    <xf numFmtId="0" fontId="4" fillId="0" borderId="0" xfId="0" applyFont="1" applyFill="1" applyBorder="1"/>
    <xf numFmtId="0" fontId="6" fillId="0" borderId="2" xfId="0" applyFont="1" applyBorder="1" applyAlignment="1">
      <alignment horizontal="center"/>
    </xf>
    <xf numFmtId="2" fontId="6" fillId="0" borderId="2" xfId="0" applyNumberFormat="1" applyFont="1" applyBorder="1" applyAlignment="1">
      <alignment horizontal="center"/>
    </xf>
    <xf numFmtId="0" fontId="6" fillId="0" borderId="2" xfId="0" applyFont="1" applyFill="1" applyBorder="1"/>
    <xf numFmtId="0" fontId="6" fillId="0" borderId="15" xfId="0" applyFont="1" applyBorder="1" applyAlignment="1">
      <alignment horizontal="center" vertical="top"/>
    </xf>
    <xf numFmtId="0" fontId="6" fillId="0" borderId="16" xfId="0" applyFont="1" applyFill="1" applyBorder="1"/>
    <xf numFmtId="0" fontId="6" fillId="0" borderId="16" xfId="0" applyFont="1" applyBorder="1" applyAlignment="1">
      <alignment horizontal="center"/>
    </xf>
    <xf numFmtId="2" fontId="6" fillId="0" borderId="16" xfId="0" applyNumberFormat="1" applyFont="1" applyBorder="1" applyAlignment="1">
      <alignment horizontal="center"/>
    </xf>
    <xf numFmtId="0" fontId="6" fillId="0" borderId="16" xfId="0" applyFont="1" applyBorder="1"/>
    <xf numFmtId="0" fontId="6" fillId="0" borderId="10" xfId="0" applyFont="1" applyFill="1" applyBorder="1"/>
    <xf numFmtId="0" fontId="6" fillId="0" borderId="10" xfId="0" applyFont="1" applyBorder="1" applyAlignment="1">
      <alignment horizontal="center"/>
    </xf>
    <xf numFmtId="2" fontId="6" fillId="0" borderId="10" xfId="0" applyNumberFormat="1" applyFont="1" applyBorder="1" applyAlignment="1">
      <alignment horizontal="center"/>
    </xf>
    <xf numFmtId="0" fontId="6" fillId="0" borderId="10" xfId="0" applyFont="1" applyBorder="1"/>
    <xf numFmtId="44" fontId="6" fillId="0" borderId="7" xfId="0" applyNumberFormat="1" applyFont="1" applyBorder="1"/>
    <xf numFmtId="44" fontId="6" fillId="0" borderId="17" xfId="0" applyNumberFormat="1" applyFont="1" applyBorder="1"/>
    <xf numFmtId="44" fontId="6" fillId="0" borderId="11" xfId="0" applyNumberFormat="1" applyFont="1" applyBorder="1"/>
    <xf numFmtId="44" fontId="7" fillId="0" borderId="6" xfId="0" applyNumberFormat="1" applyFont="1" applyBorder="1"/>
    <xf numFmtId="0" fontId="0" fillId="0" borderId="0" xfId="0"/>
    <xf numFmtId="0" fontId="0" fillId="0" borderId="0" xfId="0" applyAlignment="1">
      <alignment horizontal="center"/>
    </xf>
    <xf numFmtId="0" fontId="6" fillId="31" borderId="12" xfId="0" applyFont="1" applyFill="1" applyBorder="1" applyAlignment="1">
      <alignment horizontal="center"/>
    </xf>
    <xf numFmtId="0" fontId="6" fillId="31" borderId="13" xfId="0" applyFont="1" applyFill="1" applyBorder="1"/>
    <xf numFmtId="44" fontId="6" fillId="31" borderId="14" xfId="0" applyNumberFormat="1" applyFont="1" applyFill="1" applyBorder="1"/>
    <xf numFmtId="0" fontId="0" fillId="31" borderId="0" xfId="0" applyFill="1"/>
    <xf numFmtId="0" fontId="6" fillId="0" borderId="12" xfId="0" applyFont="1" applyFill="1" applyBorder="1" applyAlignment="1">
      <alignment horizontal="center"/>
    </xf>
    <xf numFmtId="0" fontId="6" fillId="0" borderId="13" xfId="0" applyFont="1" applyFill="1" applyBorder="1"/>
    <xf numFmtId="44" fontId="6" fillId="0" borderId="14" xfId="0" applyNumberFormat="1" applyFont="1" applyFill="1" applyBorder="1"/>
    <xf numFmtId="0" fontId="0" fillId="0" borderId="0" xfId="0" applyFill="1"/>
    <xf numFmtId="0" fontId="36" fillId="0" borderId="0" xfId="0" applyFont="1"/>
    <xf numFmtId="0" fontId="37" fillId="2" borderId="29" xfId="0" applyFont="1" applyFill="1" applyBorder="1" applyAlignment="1">
      <alignment horizontal="center" vertical="center"/>
    </xf>
    <xf numFmtId="2" fontId="37" fillId="2" borderId="29" xfId="0" applyNumberFormat="1" applyFont="1" applyFill="1" applyBorder="1" applyAlignment="1">
      <alignment horizontal="center" vertical="center"/>
    </xf>
    <xf numFmtId="0" fontId="5" fillId="0" borderId="0" xfId="0" applyFont="1"/>
    <xf numFmtId="0" fontId="37" fillId="8" borderId="1" xfId="0" applyFont="1" applyFill="1" applyBorder="1" applyAlignment="1">
      <alignment horizontal="left" vertical="center"/>
    </xf>
    <xf numFmtId="0" fontId="5" fillId="8" borderId="2" xfId="0" applyFont="1" applyFill="1" applyBorder="1" applyAlignment="1">
      <alignment horizontal="center"/>
    </xf>
    <xf numFmtId="2" fontId="5" fillId="8" borderId="2" xfId="0" applyNumberFormat="1" applyFont="1" applyFill="1" applyBorder="1" applyAlignment="1">
      <alignment horizontal="center"/>
    </xf>
    <xf numFmtId="0" fontId="5" fillId="0" borderId="34" xfId="0" applyFont="1" applyBorder="1" applyAlignment="1">
      <alignment horizontal="left" vertical="center" wrapText="1"/>
    </xf>
    <xf numFmtId="0" fontId="5" fillId="0" borderId="34" xfId="0" applyFont="1" applyBorder="1" applyAlignment="1">
      <alignment horizontal="center"/>
    </xf>
    <xf numFmtId="2" fontId="5" fillId="0" borderId="34" xfId="0" applyNumberFormat="1" applyFont="1" applyBorder="1" applyAlignment="1">
      <alignment horizontal="center"/>
    </xf>
    <xf numFmtId="44" fontId="5" fillId="0" borderId="38" xfId="1" applyNumberFormat="1" applyFont="1" applyBorder="1" applyAlignment="1">
      <alignment horizontal="right"/>
    </xf>
    <xf numFmtId="0" fontId="5" fillId="0" borderId="8" xfId="0" applyFont="1" applyBorder="1" applyAlignment="1">
      <alignment horizontal="left" vertical="center" wrapText="1"/>
    </xf>
    <xf numFmtId="0" fontId="5" fillId="0" borderId="8" xfId="0" applyFont="1" applyBorder="1" applyAlignment="1">
      <alignment horizontal="center"/>
    </xf>
    <xf numFmtId="2" fontId="5" fillId="0" borderId="8" xfId="0" applyNumberFormat="1" applyFont="1" applyBorder="1" applyAlignment="1">
      <alignment horizontal="center"/>
    </xf>
    <xf numFmtId="44" fontId="5" fillId="0" borderId="33" xfId="1" applyNumberFormat="1" applyFont="1" applyBorder="1" applyAlignment="1">
      <alignment horizontal="right"/>
    </xf>
    <xf numFmtId="0" fontId="5" fillId="0" borderId="8" xfId="24" applyFont="1" applyBorder="1" applyAlignment="1">
      <alignment horizontal="left" vertical="center" wrapText="1"/>
    </xf>
    <xf numFmtId="0" fontId="5" fillId="0" borderId="8" xfId="0" applyFont="1" applyFill="1" applyBorder="1" applyAlignment="1">
      <alignment horizontal="center"/>
    </xf>
    <xf numFmtId="0" fontId="5" fillId="0" borderId="8" xfId="0" applyFont="1" applyBorder="1" applyAlignment="1">
      <alignment horizontal="left" vertical="center" wrapText="1" shrinkToFit="1"/>
    </xf>
    <xf numFmtId="0" fontId="5" fillId="0" borderId="8" xfId="24" applyFont="1" applyBorder="1" applyAlignment="1">
      <alignment horizontal="center"/>
    </xf>
    <xf numFmtId="44" fontId="5" fillId="0" borderId="8" xfId="1" applyNumberFormat="1" applyFont="1" applyBorder="1" applyAlignment="1">
      <alignment horizontal="right"/>
    </xf>
    <xf numFmtId="0" fontId="5" fillId="0" borderId="8" xfId="0" applyFont="1" applyBorder="1" applyAlignment="1" applyProtection="1">
      <alignment horizontal="center"/>
    </xf>
    <xf numFmtId="0" fontId="37" fillId="3" borderId="29" xfId="0" applyFont="1" applyFill="1" applyBorder="1" applyAlignment="1">
      <alignment horizontal="left" vertical="center"/>
    </xf>
    <xf numFmtId="0" fontId="37" fillId="3" borderId="29" xfId="0" applyFont="1" applyFill="1" applyBorder="1" applyAlignment="1">
      <alignment horizontal="center"/>
    </xf>
    <xf numFmtId="2" fontId="37" fillId="3" borderId="29" xfId="0" applyNumberFormat="1" applyFont="1" applyFill="1" applyBorder="1" applyAlignment="1">
      <alignment horizontal="center"/>
    </xf>
    <xf numFmtId="0" fontId="37" fillId="4" borderId="35" xfId="0" applyFont="1" applyFill="1" applyBorder="1" applyAlignment="1">
      <alignment horizontal="left" vertical="center"/>
    </xf>
    <xf numFmtId="0" fontId="37" fillId="4" borderId="35" xfId="0" applyFont="1" applyFill="1" applyBorder="1" applyAlignment="1">
      <alignment horizontal="center"/>
    </xf>
    <xf numFmtId="2" fontId="37" fillId="4" borderId="35" xfId="0" applyNumberFormat="1" applyFont="1" applyFill="1" applyBorder="1" applyAlignment="1">
      <alignment horizontal="center"/>
    </xf>
    <xf numFmtId="0" fontId="37" fillId="6" borderId="1" xfId="0" applyFont="1" applyFill="1" applyBorder="1" applyAlignment="1">
      <alignment horizontal="left" vertical="center"/>
    </xf>
    <xf numFmtId="0" fontId="5" fillId="6" borderId="2" xfId="0" applyFont="1" applyFill="1" applyBorder="1" applyAlignment="1">
      <alignment horizontal="center"/>
    </xf>
    <xf numFmtId="2" fontId="5" fillId="6" borderId="2" xfId="0" applyNumberFormat="1" applyFont="1" applyFill="1" applyBorder="1" applyAlignment="1">
      <alignment horizontal="center"/>
    </xf>
    <xf numFmtId="0" fontId="39" fillId="0" borderId="18" xfId="0" applyFont="1" applyBorder="1" applyAlignment="1">
      <alignment horizontal="left" vertical="center" wrapText="1"/>
    </xf>
    <xf numFmtId="0" fontId="5" fillId="0" borderId="18" xfId="0" applyFont="1" applyBorder="1" applyAlignment="1">
      <alignment horizontal="center"/>
    </xf>
    <xf numFmtId="2" fontId="5" fillId="0" borderId="18" xfId="0" applyNumberFormat="1" applyFont="1" applyBorder="1" applyAlignment="1">
      <alignment horizontal="center"/>
    </xf>
    <xf numFmtId="0" fontId="39" fillId="0" borderId="8" xfId="0" applyFont="1" applyBorder="1" applyAlignment="1">
      <alignment horizontal="left" vertical="center" wrapText="1"/>
    </xf>
    <xf numFmtId="44" fontId="5" fillId="0" borderId="33" xfId="17" applyNumberFormat="1" applyFont="1" applyFill="1" applyBorder="1" applyAlignment="1">
      <alignment horizontal="right"/>
    </xf>
    <xf numFmtId="0" fontId="5" fillId="4" borderId="8" xfId="0" applyFont="1" applyFill="1" applyBorder="1" applyAlignment="1">
      <alignment horizontal="left" vertical="center" wrapText="1"/>
    </xf>
    <xf numFmtId="44" fontId="5" fillId="4" borderId="33" xfId="1" applyNumberFormat="1" applyFont="1" applyFill="1" applyBorder="1" applyAlignment="1">
      <alignment horizontal="right"/>
    </xf>
    <xf numFmtId="0" fontId="37" fillId="6" borderId="2" xfId="0" applyFont="1" applyFill="1" applyBorder="1" applyAlignment="1">
      <alignment horizontal="center"/>
    </xf>
    <xf numFmtId="2" fontId="37" fillId="6" borderId="2" xfId="0" applyNumberFormat="1" applyFont="1" applyFill="1" applyBorder="1" applyAlignment="1">
      <alignment horizontal="center"/>
    </xf>
    <xf numFmtId="0" fontId="37" fillId="4" borderId="0" xfId="0" applyFont="1" applyFill="1" applyBorder="1" applyAlignment="1">
      <alignment horizontal="left" vertical="center"/>
    </xf>
    <xf numFmtId="0" fontId="37" fillId="4" borderId="0" xfId="0" applyFont="1" applyFill="1" applyBorder="1" applyAlignment="1">
      <alignment horizontal="center"/>
    </xf>
    <xf numFmtId="2" fontId="37" fillId="4" borderId="0" xfId="0" applyNumberFormat="1" applyFont="1" applyFill="1" applyBorder="1" applyAlignment="1">
      <alignment horizontal="center"/>
    </xf>
    <xf numFmtId="0" fontId="37" fillId="5" borderId="1" xfId="0" applyFont="1" applyFill="1" applyBorder="1" applyAlignment="1">
      <alignment horizontal="left" vertical="center" wrapText="1"/>
    </xf>
    <xf numFmtId="0" fontId="5" fillId="5" borderId="2" xfId="0" applyFont="1" applyFill="1" applyBorder="1" applyAlignment="1">
      <alignment horizontal="center"/>
    </xf>
    <xf numFmtId="2" fontId="5" fillId="5" borderId="2" xfId="0" applyNumberFormat="1" applyFont="1" applyFill="1" applyBorder="1" applyAlignment="1">
      <alignment horizontal="center"/>
    </xf>
    <xf numFmtId="0" fontId="39" fillId="0" borderId="34" xfId="0" applyFont="1" applyBorder="1" applyAlignment="1">
      <alignment horizontal="left" vertical="center" wrapText="1"/>
    </xf>
    <xf numFmtId="0" fontId="37" fillId="5" borderId="2" xfId="0" applyFont="1" applyFill="1" applyBorder="1" applyAlignment="1">
      <alignment horizontal="center"/>
    </xf>
    <xf numFmtId="2" fontId="37" fillId="5" borderId="2" xfId="0" applyNumberFormat="1" applyFont="1" applyFill="1" applyBorder="1" applyAlignment="1">
      <alignment horizontal="center"/>
    </xf>
    <xf numFmtId="0" fontId="37" fillId="7" borderId="1" xfId="0" applyFont="1" applyFill="1" applyBorder="1" applyAlignment="1">
      <alignment horizontal="left" vertical="center"/>
    </xf>
    <xf numFmtId="0" fontId="5" fillId="7" borderId="2" xfId="0" applyFont="1" applyFill="1" applyBorder="1" applyAlignment="1">
      <alignment horizontal="center"/>
    </xf>
    <xf numFmtId="2" fontId="5" fillId="7" borderId="2" xfId="0" applyNumberFormat="1" applyFont="1" applyFill="1" applyBorder="1" applyAlignment="1">
      <alignment horizontal="center"/>
    </xf>
    <xf numFmtId="0" fontId="5" fillId="0" borderId="8" xfId="34" applyFont="1" applyBorder="1" applyAlignment="1">
      <alignment horizontal="left" vertical="center" wrapText="1"/>
    </xf>
    <xf numFmtId="0" fontId="37" fillId="7" borderId="2" xfId="0" applyFont="1" applyFill="1" applyBorder="1" applyAlignment="1">
      <alignment horizontal="center"/>
    </xf>
    <xf numFmtId="2" fontId="37" fillId="7" borderId="2" xfId="0" applyNumberFormat="1" applyFont="1" applyFill="1" applyBorder="1" applyAlignment="1">
      <alignment horizontal="center"/>
    </xf>
    <xf numFmtId="0" fontId="5" fillId="0" borderId="0" xfId="0" applyFont="1" applyAlignment="1">
      <alignment vertical="top"/>
    </xf>
    <xf numFmtId="0" fontId="5" fillId="0" borderId="0" xfId="0" applyFont="1" applyAlignment="1">
      <alignment horizontal="center"/>
    </xf>
    <xf numFmtId="2" fontId="5" fillId="0" borderId="0" xfId="0" applyNumberFormat="1" applyFont="1" applyAlignment="1">
      <alignment horizontal="center"/>
    </xf>
    <xf numFmtId="44" fontId="37" fillId="2" borderId="30" xfId="0" applyNumberFormat="1" applyFont="1" applyFill="1" applyBorder="1" applyAlignment="1">
      <alignment horizontal="right" vertical="center"/>
    </xf>
    <xf numFmtId="44" fontId="5" fillId="8" borderId="2" xfId="0" applyNumberFormat="1" applyFont="1" applyFill="1" applyBorder="1" applyAlignment="1">
      <alignment horizontal="right"/>
    </xf>
    <xf numFmtId="44" fontId="5" fillId="8" borderId="7" xfId="0" applyNumberFormat="1" applyFont="1" applyFill="1" applyBorder="1" applyAlignment="1">
      <alignment horizontal="right"/>
    </xf>
    <xf numFmtId="44" fontId="5" fillId="0" borderId="34" xfId="1" applyNumberFormat="1" applyFont="1" applyBorder="1" applyAlignment="1">
      <alignment horizontal="right"/>
    </xf>
    <xf numFmtId="44" fontId="37" fillId="3" borderId="29" xfId="1" applyNumberFormat="1" applyFont="1" applyFill="1" applyBorder="1" applyAlignment="1">
      <alignment horizontal="right"/>
    </xf>
    <xf numFmtId="44" fontId="37" fillId="4" borderId="35" xfId="1" applyNumberFormat="1" applyFont="1" applyFill="1" applyBorder="1" applyAlignment="1">
      <alignment horizontal="right"/>
    </xf>
    <xf numFmtId="44" fontId="37" fillId="4" borderId="35" xfId="0" applyNumberFormat="1" applyFont="1" applyFill="1" applyBorder="1" applyAlignment="1">
      <alignment horizontal="right"/>
    </xf>
    <xf numFmtId="44" fontId="5" fillId="6" borderId="2" xfId="1" applyNumberFormat="1" applyFont="1" applyFill="1" applyBorder="1" applyAlignment="1">
      <alignment horizontal="right"/>
    </xf>
    <xf numFmtId="44" fontId="5" fillId="6" borderId="7" xfId="1" applyNumberFormat="1" applyFont="1" applyFill="1" applyBorder="1" applyAlignment="1">
      <alignment horizontal="right"/>
    </xf>
    <xf numFmtId="44" fontId="5" fillId="0" borderId="18" xfId="1" applyNumberFormat="1" applyFont="1" applyBorder="1" applyAlignment="1">
      <alignment horizontal="right"/>
    </xf>
    <xf numFmtId="44" fontId="5" fillId="0" borderId="41" xfId="1" applyNumberFormat="1" applyFont="1" applyBorder="1" applyAlignment="1">
      <alignment horizontal="right"/>
    </xf>
    <xf numFmtId="44" fontId="37" fillId="6" borderId="2" xfId="1" applyNumberFormat="1" applyFont="1" applyFill="1" applyBorder="1" applyAlignment="1">
      <alignment horizontal="right"/>
    </xf>
    <xf numFmtId="44" fontId="37" fillId="4" borderId="0" xfId="1" applyNumberFormat="1" applyFont="1" applyFill="1" applyBorder="1" applyAlignment="1">
      <alignment horizontal="right"/>
    </xf>
    <xf numFmtId="44" fontId="5" fillId="5" borderId="2" xfId="0" applyNumberFormat="1" applyFont="1" applyFill="1" applyBorder="1" applyAlignment="1">
      <alignment horizontal="right"/>
    </xf>
    <xf numFmtId="44" fontId="37" fillId="5" borderId="7" xfId="0" applyNumberFormat="1" applyFont="1" applyFill="1" applyBorder="1" applyAlignment="1">
      <alignment horizontal="right"/>
    </xf>
    <xf numFmtId="44" fontId="37" fillId="5" borderId="2" xfId="1" applyNumberFormat="1" applyFont="1" applyFill="1" applyBorder="1" applyAlignment="1">
      <alignment horizontal="right"/>
    </xf>
    <xf numFmtId="44" fontId="5" fillId="7" borderId="2" xfId="1" applyNumberFormat="1" applyFont="1" applyFill="1" applyBorder="1" applyAlignment="1">
      <alignment horizontal="right"/>
    </xf>
    <xf numFmtId="44" fontId="5" fillId="7" borderId="7" xfId="1" applyNumberFormat="1" applyFont="1" applyFill="1" applyBorder="1" applyAlignment="1">
      <alignment horizontal="right"/>
    </xf>
    <xf numFmtId="44" fontId="37" fillId="7" borderId="2" xfId="1" applyNumberFormat="1" applyFont="1" applyFill="1" applyBorder="1" applyAlignment="1">
      <alignment horizontal="right"/>
    </xf>
    <xf numFmtId="44" fontId="5" fillId="0" borderId="0" xfId="0" applyNumberFormat="1" applyFont="1" applyAlignment="1">
      <alignment horizontal="right"/>
    </xf>
    <xf numFmtId="2" fontId="5" fillId="0" borderId="8" xfId="0" applyNumberFormat="1" applyFont="1" applyBorder="1" applyAlignment="1" applyProtection="1">
      <alignment horizontal="center"/>
    </xf>
    <xf numFmtId="2" fontId="5" fillId="0" borderId="8" xfId="34" applyNumberFormat="1" applyFont="1" applyBorder="1" applyAlignment="1">
      <alignment horizontal="center"/>
    </xf>
    <xf numFmtId="49" fontId="37" fillId="2" borderId="28" xfId="0" applyNumberFormat="1" applyFont="1" applyFill="1" applyBorder="1" applyAlignment="1">
      <alignment horizontal="center" vertical="center" wrapText="1"/>
    </xf>
    <xf numFmtId="49" fontId="5" fillId="0" borderId="36" xfId="0" applyNumberFormat="1" applyFont="1" applyBorder="1" applyAlignment="1">
      <alignment horizontal="center" vertical="top"/>
    </xf>
    <xf numFmtId="49" fontId="5" fillId="0" borderId="37" xfId="0" applyNumberFormat="1" applyFont="1" applyBorder="1" applyAlignment="1">
      <alignment horizontal="center" vertical="top"/>
    </xf>
    <xf numFmtId="49" fontId="5" fillId="0" borderId="32" xfId="0" applyNumberFormat="1" applyFont="1" applyBorder="1" applyAlignment="1">
      <alignment horizontal="center" vertical="top"/>
    </xf>
    <xf numFmtId="49" fontId="37" fillId="4" borderId="35" xfId="0" applyNumberFormat="1" applyFont="1" applyFill="1" applyBorder="1" applyAlignment="1">
      <alignment horizontal="center" vertical="top"/>
    </xf>
    <xf numFmtId="49" fontId="5" fillId="0" borderId="39" xfId="0" applyNumberFormat="1" applyFont="1" applyBorder="1" applyAlignment="1">
      <alignment horizontal="center" vertical="top"/>
    </xf>
    <xf numFmtId="49" fontId="5" fillId="0" borderId="40" xfId="0" applyNumberFormat="1" applyFont="1" applyBorder="1" applyAlignment="1">
      <alignment horizontal="center" vertical="top"/>
    </xf>
    <xf numFmtId="49" fontId="5" fillId="0" borderId="32" xfId="24" applyNumberFormat="1" applyFont="1" applyBorder="1" applyAlignment="1">
      <alignment horizontal="center" vertical="top"/>
    </xf>
    <xf numFmtId="49" fontId="5" fillId="0" borderId="32" xfId="0" applyNumberFormat="1" applyFont="1" applyFill="1" applyBorder="1" applyAlignment="1">
      <alignment horizontal="center" vertical="top"/>
    </xf>
    <xf numFmtId="49" fontId="5" fillId="0" borderId="42" xfId="0" applyNumberFormat="1" applyFont="1" applyBorder="1" applyAlignment="1">
      <alignment horizontal="center" vertical="top"/>
    </xf>
    <xf numFmtId="49" fontId="5" fillId="0" borderId="0" xfId="0" applyNumberFormat="1" applyFont="1" applyAlignment="1">
      <alignment horizontal="center" vertical="top"/>
    </xf>
    <xf numFmtId="44" fontId="6" fillId="31" borderId="7" xfId="0" applyNumberFormat="1" applyFont="1" applyFill="1" applyBorder="1"/>
    <xf numFmtId="0" fontId="36" fillId="0" borderId="4" xfId="0" applyFont="1" applyBorder="1" applyAlignment="1">
      <alignment horizontal="center" vertical="top"/>
    </xf>
    <xf numFmtId="0" fontId="7" fillId="0" borderId="5" xfId="0" applyFont="1" applyBorder="1"/>
    <xf numFmtId="0" fontId="36" fillId="0" borderId="5" xfId="0" applyFont="1" applyBorder="1" applyAlignment="1">
      <alignment horizontal="center"/>
    </xf>
    <xf numFmtId="2" fontId="36" fillId="0" borderId="5" xfId="0" applyNumberFormat="1" applyFont="1" applyBorder="1" applyAlignment="1">
      <alignment horizontal="center"/>
    </xf>
    <xf numFmtId="0" fontId="36" fillId="0" borderId="5" xfId="0" applyFont="1" applyBorder="1"/>
    <xf numFmtId="0" fontId="41" fillId="0" borderId="0" xfId="0" applyFont="1" applyAlignment="1">
      <alignment horizontal="center" vertical="top"/>
    </xf>
    <xf numFmtId="0" fontId="41" fillId="0" borderId="0" xfId="0" applyFont="1"/>
    <xf numFmtId="0" fontId="41" fillId="0" borderId="0" xfId="0" applyFont="1" applyAlignment="1">
      <alignment horizontal="center"/>
    </xf>
    <xf numFmtId="2" fontId="41" fillId="0" borderId="0" xfId="0" applyNumberFormat="1" applyFont="1" applyAlignment="1">
      <alignment horizontal="center"/>
    </xf>
    <xf numFmtId="0" fontId="41" fillId="0" borderId="3" xfId="0" applyFont="1" applyBorder="1" applyAlignment="1">
      <alignment horizontal="center" vertical="top"/>
    </xf>
    <xf numFmtId="0" fontId="6" fillId="0" borderId="3" xfId="0" applyFont="1" applyBorder="1"/>
    <xf numFmtId="0" fontId="41" fillId="0" borderId="3" xfId="0" applyFont="1" applyBorder="1" applyAlignment="1">
      <alignment horizontal="center"/>
    </xf>
    <xf numFmtId="2" fontId="41" fillId="0" borderId="3" xfId="0" applyNumberFormat="1" applyFont="1" applyBorder="1" applyAlignment="1">
      <alignment horizontal="center"/>
    </xf>
    <xf numFmtId="0" fontId="41" fillId="0" borderId="3" xfId="0" applyFont="1" applyBorder="1"/>
    <xf numFmtId="0" fontId="6" fillId="31" borderId="1" xfId="0" applyFont="1" applyFill="1" applyBorder="1" applyAlignment="1">
      <alignment horizontal="center"/>
    </xf>
    <xf numFmtId="0" fontId="6" fillId="31" borderId="2" xfId="0" applyFont="1" applyFill="1" applyBorder="1"/>
    <xf numFmtId="0" fontId="41" fillId="31" borderId="2" xfId="0" applyFont="1" applyFill="1" applyBorder="1" applyAlignment="1">
      <alignment horizontal="center"/>
    </xf>
    <xf numFmtId="2" fontId="41" fillId="31" borderId="2" xfId="0" applyNumberFormat="1" applyFont="1" applyFill="1" applyBorder="1" applyAlignment="1">
      <alignment horizontal="center"/>
    </xf>
    <xf numFmtId="0" fontId="41" fillId="31" borderId="2" xfId="0" applyFont="1" applyFill="1" applyBorder="1"/>
    <xf numFmtId="0" fontId="41" fillId="31" borderId="13" xfId="0" applyFont="1" applyFill="1" applyBorder="1" applyAlignment="1">
      <alignment horizontal="center"/>
    </xf>
    <xf numFmtId="2" fontId="41" fillId="31" borderId="13" xfId="0" applyNumberFormat="1" applyFont="1" applyFill="1" applyBorder="1" applyAlignment="1">
      <alignment horizontal="center"/>
    </xf>
    <xf numFmtId="0" fontId="41" fillId="31" borderId="13" xfId="0" applyFont="1" applyFill="1" applyBorder="1"/>
    <xf numFmtId="0" fontId="41" fillId="0" borderId="13" xfId="0" applyFont="1" applyFill="1" applyBorder="1" applyAlignment="1">
      <alignment horizontal="center"/>
    </xf>
    <xf numFmtId="2" fontId="41" fillId="0" borderId="13" xfId="0" applyNumberFormat="1" applyFont="1" applyFill="1" applyBorder="1" applyAlignment="1">
      <alignment horizontal="center"/>
    </xf>
    <xf numFmtId="0" fontId="41" fillId="0" borderId="13" xfId="0" applyFont="1" applyFill="1" applyBorder="1"/>
    <xf numFmtId="0" fontId="41" fillId="0" borderId="0" xfId="0" applyFont="1" applyFill="1" applyBorder="1"/>
    <xf numFmtId="44" fontId="41" fillId="0" borderId="0" xfId="0" applyNumberFormat="1" applyFont="1"/>
    <xf numFmtId="49" fontId="37" fillId="3" borderId="28" xfId="0" applyNumberFormat="1" applyFont="1" applyFill="1" applyBorder="1" applyAlignment="1">
      <alignment horizontal="center" vertical="center"/>
    </xf>
    <xf numFmtId="44" fontId="37" fillId="3" borderId="30" xfId="0" applyNumberFormat="1" applyFont="1" applyFill="1" applyBorder="1" applyAlignment="1">
      <alignment horizontal="right" vertical="center"/>
    </xf>
    <xf numFmtId="0" fontId="4" fillId="0" borderId="8" xfId="24" applyBorder="1" applyAlignment="1">
      <alignment vertical="center" wrapText="1" shrinkToFit="1"/>
    </xf>
    <xf numFmtId="49" fontId="37" fillId="7" borderId="1" xfId="0" applyNumberFormat="1" applyFont="1" applyFill="1" applyBorder="1" applyAlignment="1">
      <alignment horizontal="center" vertical="center"/>
    </xf>
    <xf numFmtId="0" fontId="37" fillId="7" borderId="43" xfId="0" applyFont="1" applyFill="1" applyBorder="1" applyAlignment="1">
      <alignment horizontal="left" vertical="center"/>
    </xf>
    <xf numFmtId="44" fontId="37" fillId="7" borderId="7" xfId="1" applyNumberFormat="1" applyFont="1" applyFill="1" applyBorder="1" applyAlignment="1">
      <alignment horizontal="right" vertical="center"/>
    </xf>
    <xf numFmtId="49" fontId="37" fillId="5" borderId="1" xfId="0" applyNumberFormat="1" applyFont="1" applyFill="1" applyBorder="1" applyAlignment="1">
      <alignment horizontal="center" vertical="center"/>
    </xf>
    <xf numFmtId="44" fontId="37" fillId="5" borderId="7" xfId="1" applyNumberFormat="1" applyFont="1" applyFill="1" applyBorder="1" applyAlignment="1">
      <alignment horizontal="right" vertical="center"/>
    </xf>
    <xf numFmtId="0" fontId="37" fillId="5" borderId="43" xfId="0" applyFont="1" applyFill="1" applyBorder="1" applyAlignment="1">
      <alignment horizontal="left" vertical="center"/>
    </xf>
    <xf numFmtId="49" fontId="37" fillId="6" borderId="1" xfId="0" applyNumberFormat="1" applyFont="1" applyFill="1" applyBorder="1" applyAlignment="1">
      <alignment horizontal="center" vertical="center"/>
    </xf>
    <xf numFmtId="0" fontId="37" fillId="6" borderId="43" xfId="0" applyFont="1" applyFill="1" applyBorder="1" applyAlignment="1">
      <alignment horizontal="left" vertical="center"/>
    </xf>
    <xf numFmtId="44" fontId="37" fillId="6" borderId="7" xfId="1" applyNumberFormat="1" applyFont="1" applyFill="1" applyBorder="1" applyAlignment="1">
      <alignment horizontal="right" vertical="center"/>
    </xf>
    <xf numFmtId="49" fontId="5" fillId="0" borderId="44" xfId="0" applyNumberFormat="1" applyFont="1" applyBorder="1" applyAlignment="1">
      <alignment horizontal="center" vertical="top"/>
    </xf>
    <xf numFmtId="0" fontId="5" fillId="0" borderId="18" xfId="0" applyFont="1" applyBorder="1" applyAlignment="1" applyProtection="1">
      <alignment horizontal="left" vertical="center"/>
    </xf>
    <xf numFmtId="0" fontId="5" fillId="0" borderId="18" xfId="0" applyFont="1" applyBorder="1" applyAlignment="1" applyProtection="1">
      <alignment horizontal="center"/>
    </xf>
    <xf numFmtId="2" fontId="5" fillId="0" borderId="18" xfId="0" applyNumberFormat="1" applyFont="1" applyBorder="1" applyAlignment="1" applyProtection="1">
      <alignment horizontal="center"/>
    </xf>
    <xf numFmtId="0" fontId="5" fillId="0" borderId="47" xfId="0" applyFont="1" applyBorder="1" applyAlignment="1" applyProtection="1">
      <alignment horizontal="left" vertical="center"/>
    </xf>
    <xf numFmtId="0" fontId="5" fillId="0" borderId="47" xfId="0" applyFont="1" applyBorder="1" applyAlignment="1" applyProtection="1">
      <alignment horizontal="center"/>
    </xf>
    <xf numFmtId="2" fontId="5" fillId="0" borderId="47" xfId="0" applyNumberFormat="1" applyFont="1" applyBorder="1" applyAlignment="1" applyProtection="1">
      <alignment horizontal="center"/>
    </xf>
    <xf numFmtId="49" fontId="5" fillId="0" borderId="44" xfId="24" applyNumberFormat="1" applyFont="1" applyBorder="1" applyAlignment="1">
      <alignment horizontal="center" vertical="top"/>
    </xf>
    <xf numFmtId="0" fontId="5" fillId="0" borderId="45" xfId="0" applyFont="1" applyBorder="1" applyAlignment="1" applyProtection="1">
      <alignment horizontal="center"/>
    </xf>
    <xf numFmtId="2" fontId="5" fillId="0" borderId="45" xfId="0" applyNumberFormat="1" applyFont="1" applyBorder="1" applyAlignment="1" applyProtection="1">
      <alignment horizontal="center"/>
    </xf>
    <xf numFmtId="44" fontId="5" fillId="0" borderId="45" xfId="0" applyNumberFormat="1" applyFont="1" applyBorder="1" applyAlignment="1" applyProtection="1">
      <alignment horizontal="right"/>
    </xf>
    <xf numFmtId="44" fontId="5" fillId="4" borderId="46" xfId="1" applyNumberFormat="1" applyFont="1" applyFill="1" applyBorder="1" applyAlignment="1">
      <alignment horizontal="right"/>
    </xf>
    <xf numFmtId="49" fontId="5" fillId="0" borderId="37" xfId="24" applyNumberFormat="1" applyFont="1" applyBorder="1" applyAlignment="1">
      <alignment horizontal="center" vertical="top"/>
    </xf>
    <xf numFmtId="44" fontId="5" fillId="4" borderId="41" xfId="1" applyNumberFormat="1" applyFont="1" applyFill="1" applyBorder="1" applyAlignment="1">
      <alignment horizontal="right"/>
    </xf>
    <xf numFmtId="49" fontId="5" fillId="0" borderId="47" xfId="24" applyNumberFormat="1" applyFont="1" applyBorder="1" applyAlignment="1">
      <alignment horizontal="center" vertical="top"/>
    </xf>
    <xf numFmtId="44" fontId="5" fillId="4" borderId="47" xfId="1" applyNumberFormat="1" applyFont="1" applyFill="1" applyBorder="1" applyAlignment="1">
      <alignment horizontal="right"/>
    </xf>
    <xf numFmtId="0" fontId="4" fillId="0" borderId="8" xfId="0" applyFont="1" applyBorder="1" applyAlignment="1">
      <alignment vertical="center" wrapText="1"/>
    </xf>
    <xf numFmtId="0" fontId="0" fillId="0" borderId="8" xfId="0" applyBorder="1" applyAlignment="1">
      <alignment horizontal="center"/>
    </xf>
    <xf numFmtId="2" fontId="0" fillId="0" borderId="8" xfId="0" applyNumberFormat="1" applyBorder="1" applyAlignment="1">
      <alignment horizontal="center"/>
    </xf>
    <xf numFmtId="0" fontId="4" fillId="0" borderId="8" xfId="0" applyFont="1" applyBorder="1" applyAlignment="1">
      <alignment vertical="center" wrapText="1" shrinkToFit="1"/>
    </xf>
    <xf numFmtId="0" fontId="5" fillId="4" borderId="8" xfId="0" applyFont="1" applyFill="1" applyBorder="1" applyAlignment="1">
      <alignment vertical="center" wrapText="1"/>
    </xf>
    <xf numFmtId="0" fontId="4" fillId="4" borderId="8" xfId="0" applyFont="1" applyFill="1" applyBorder="1" applyAlignment="1">
      <alignment vertical="center" wrapText="1"/>
    </xf>
    <xf numFmtId="2" fontId="0" fillId="0" borderId="6" xfId="0" applyNumberFormat="1" applyBorder="1" applyAlignment="1">
      <alignment horizontal="center"/>
    </xf>
    <xf numFmtId="44" fontId="4" fillId="4" borderId="18" xfId="1" applyNumberFormat="1" applyFont="1" applyFill="1" applyBorder="1" applyAlignment="1">
      <alignment horizontal="right"/>
    </xf>
    <xf numFmtId="0" fontId="5" fillId="0" borderId="45" xfId="0" applyFont="1" applyBorder="1" applyAlignment="1">
      <alignment vertical="center" wrapText="1"/>
    </xf>
    <xf numFmtId="0" fontId="5" fillId="0" borderId="45" xfId="0" applyFont="1" applyFill="1" applyBorder="1" applyAlignment="1">
      <alignment horizontal="center"/>
    </xf>
    <xf numFmtId="2" fontId="5" fillId="0" borderId="45" xfId="0" applyNumberFormat="1" applyFont="1" applyFill="1" applyBorder="1" applyAlignment="1">
      <alignment horizontal="center"/>
    </xf>
    <xf numFmtId="44" fontId="5" fillId="0" borderId="45" xfId="1" applyNumberFormat="1" applyFont="1" applyFill="1" applyBorder="1" applyAlignment="1">
      <alignment horizontal="right"/>
    </xf>
    <xf numFmtId="44" fontId="5" fillId="0" borderId="46" xfId="17" applyNumberFormat="1" applyFont="1" applyFill="1" applyBorder="1" applyAlignment="1">
      <alignment horizontal="right"/>
    </xf>
    <xf numFmtId="0" fontId="5" fillId="0" borderId="18" xfId="0" applyFont="1" applyFill="1" applyBorder="1" applyAlignment="1">
      <alignment horizontal="left" vertical="center" wrapText="1"/>
    </xf>
    <xf numFmtId="0" fontId="5" fillId="0" borderId="18" xfId="0" applyFont="1" applyFill="1" applyBorder="1" applyAlignment="1">
      <alignment horizontal="center"/>
    </xf>
    <xf numFmtId="2" fontId="5" fillId="0" borderId="18" xfId="0" applyNumberFormat="1" applyFont="1" applyFill="1" applyBorder="1" applyAlignment="1">
      <alignment horizontal="center"/>
    </xf>
    <xf numFmtId="44" fontId="5" fillId="0" borderId="41" xfId="17" applyNumberFormat="1" applyFont="1" applyFill="1" applyBorder="1" applyAlignment="1">
      <alignment horizontal="right"/>
    </xf>
    <xf numFmtId="49" fontId="5" fillId="0" borderId="48" xfId="0" applyNumberFormat="1" applyFont="1" applyFill="1" applyBorder="1" applyAlignment="1">
      <alignment horizontal="center" vertical="top"/>
    </xf>
    <xf numFmtId="0" fontId="5" fillId="0" borderId="47" xfId="0" applyFont="1" applyFill="1" applyBorder="1" applyAlignment="1">
      <alignment horizontal="left" vertical="center" wrapText="1"/>
    </xf>
    <xf numFmtId="0" fontId="5" fillId="0" borderId="47" xfId="0" applyFont="1" applyFill="1" applyBorder="1" applyAlignment="1">
      <alignment horizontal="center"/>
    </xf>
    <xf numFmtId="2" fontId="5" fillId="0" borderId="47" xfId="0" applyNumberFormat="1" applyFont="1" applyFill="1" applyBorder="1" applyAlignment="1">
      <alignment horizontal="center"/>
    </xf>
    <xf numFmtId="44" fontId="5" fillId="0" borderId="49" xfId="17" applyNumberFormat="1" applyFont="1" applyFill="1" applyBorder="1" applyAlignment="1">
      <alignment horizontal="right"/>
    </xf>
    <xf numFmtId="0" fontId="36" fillId="0" borderId="0" xfId="0" applyFont="1" applyAlignment="1">
      <alignment vertical="top"/>
    </xf>
    <xf numFmtId="44" fontId="37" fillId="2" borderId="29" xfId="1" applyNumberFormat="1" applyFont="1" applyFill="1" applyBorder="1" applyAlignment="1">
      <alignment horizontal="center" vertical="center" wrapText="1"/>
    </xf>
    <xf numFmtId="0" fontId="37" fillId="33" borderId="1" xfId="0" applyFont="1" applyFill="1" applyBorder="1" applyAlignment="1">
      <alignment horizontal="left" vertical="center"/>
    </xf>
    <xf numFmtId="0" fontId="5" fillId="33" borderId="2" xfId="0" applyFont="1" applyFill="1" applyBorder="1" applyAlignment="1">
      <alignment horizontal="center"/>
    </xf>
    <xf numFmtId="2" fontId="5" fillId="33" borderId="2" xfId="0" applyNumberFormat="1" applyFont="1" applyFill="1" applyBorder="1" applyAlignment="1">
      <alignment horizontal="center"/>
    </xf>
    <xf numFmtId="44" fontId="5" fillId="33" borderId="2" xfId="0" applyNumberFormat="1" applyFont="1" applyFill="1" applyBorder="1" applyAlignment="1">
      <alignment horizontal="right"/>
    </xf>
    <xf numFmtId="44" fontId="5" fillId="33" borderId="7" xfId="0" applyNumberFormat="1" applyFont="1" applyFill="1" applyBorder="1" applyAlignment="1">
      <alignment horizontal="right"/>
    </xf>
    <xf numFmtId="0" fontId="37" fillId="33" borderId="1" xfId="0" applyFont="1" applyFill="1" applyBorder="1" applyAlignment="1">
      <alignment horizontal="center" vertical="center"/>
    </xf>
    <xf numFmtId="0" fontId="37" fillId="34" borderId="1" xfId="0" applyFont="1" applyFill="1" applyBorder="1" applyAlignment="1">
      <alignment horizontal="left" vertical="center"/>
    </xf>
    <xf numFmtId="0" fontId="5" fillId="34" borderId="2" xfId="0" applyFont="1" applyFill="1" applyBorder="1" applyAlignment="1">
      <alignment horizontal="center"/>
    </xf>
    <xf numFmtId="2" fontId="5" fillId="34" borderId="2" xfId="0" applyNumberFormat="1" applyFont="1" applyFill="1" applyBorder="1" applyAlignment="1">
      <alignment horizontal="center"/>
    </xf>
    <xf numFmtId="44" fontId="5" fillId="34" borderId="2" xfId="1" applyNumberFormat="1" applyFont="1" applyFill="1" applyBorder="1" applyAlignment="1">
      <alignment horizontal="right"/>
    </xf>
    <xf numFmtId="44" fontId="5" fillId="34" borderId="7" xfId="1" applyNumberFormat="1" applyFont="1" applyFill="1" applyBorder="1" applyAlignment="1">
      <alignment horizontal="right"/>
    </xf>
    <xf numFmtId="49" fontId="37" fillId="34" borderId="1" xfId="0" applyNumberFormat="1" applyFont="1" applyFill="1" applyBorder="1" applyAlignment="1">
      <alignment horizontal="center" vertical="center"/>
    </xf>
    <xf numFmtId="0" fontId="37" fillId="34" borderId="43" xfId="0" applyFont="1" applyFill="1" applyBorder="1" applyAlignment="1">
      <alignment horizontal="left" vertical="center"/>
    </xf>
    <xf numFmtId="0" fontId="37" fillId="34" borderId="2" xfId="0" applyFont="1" applyFill="1" applyBorder="1" applyAlignment="1">
      <alignment horizontal="center"/>
    </xf>
    <xf numFmtId="2" fontId="37" fillId="34" borderId="2" xfId="0" applyNumberFormat="1" applyFont="1" applyFill="1" applyBorder="1" applyAlignment="1">
      <alignment horizontal="center"/>
    </xf>
    <xf numFmtId="44" fontId="37" fillId="34" borderId="2" xfId="1" applyNumberFormat="1" applyFont="1" applyFill="1" applyBorder="1" applyAlignment="1">
      <alignment horizontal="right"/>
    </xf>
    <xf numFmtId="44" fontId="37" fillId="34" borderId="7" xfId="1" applyNumberFormat="1" applyFont="1" applyFill="1" applyBorder="1" applyAlignment="1">
      <alignment horizontal="right" vertical="center"/>
    </xf>
    <xf numFmtId="49" fontId="37" fillId="35" borderId="1" xfId="0" applyNumberFormat="1" applyFont="1" applyFill="1" applyBorder="1" applyAlignment="1">
      <alignment horizontal="center" vertical="center"/>
    </xf>
    <xf numFmtId="0" fontId="37" fillId="35" borderId="43" xfId="0" applyFont="1" applyFill="1" applyBorder="1" applyAlignment="1">
      <alignment horizontal="left" vertical="center"/>
    </xf>
    <xf numFmtId="0" fontId="37" fillId="35" borderId="2" xfId="0" applyFont="1" applyFill="1" applyBorder="1" applyAlignment="1">
      <alignment horizontal="center"/>
    </xf>
    <xf numFmtId="2" fontId="37" fillId="35" borderId="2" xfId="0" applyNumberFormat="1" applyFont="1" applyFill="1" applyBorder="1" applyAlignment="1">
      <alignment horizontal="center"/>
    </xf>
    <xf numFmtId="44" fontId="37" fillId="35" borderId="2" xfId="1" applyNumberFormat="1" applyFont="1" applyFill="1" applyBorder="1" applyAlignment="1">
      <alignment horizontal="right"/>
    </xf>
    <xf numFmtId="44" fontId="37" fillId="35" borderId="7" xfId="1" applyNumberFormat="1" applyFont="1" applyFill="1" applyBorder="1" applyAlignment="1">
      <alignment horizontal="right" vertical="center"/>
    </xf>
    <xf numFmtId="0" fontId="5" fillId="0" borderId="8" xfId="24" applyFont="1" applyBorder="1" applyAlignment="1">
      <alignment horizontal="left" vertical="top" wrapText="1"/>
    </xf>
    <xf numFmtId="0" fontId="5" fillId="0" borderId="8" xfId="0" applyFont="1" applyBorder="1" applyAlignment="1">
      <alignment horizontal="left" vertical="top" wrapText="1"/>
    </xf>
    <xf numFmtId="0" fontId="5" fillId="0" borderId="37" xfId="0" applyNumberFormat="1" applyFont="1" applyBorder="1" applyAlignment="1">
      <alignment horizontal="center" vertical="top"/>
    </xf>
    <xf numFmtId="0" fontId="5" fillId="4" borderId="8" xfId="0" applyFont="1" applyFill="1" applyBorder="1" applyAlignment="1">
      <alignment horizontal="left" vertical="top" wrapText="1"/>
    </xf>
    <xf numFmtId="0" fontId="44" fillId="0" borderId="0" xfId="0" applyFont="1" applyAlignment="1">
      <alignment vertical="top"/>
    </xf>
    <xf numFmtId="0" fontId="43" fillId="0" borderId="0" xfId="0" applyFont="1" applyAlignment="1">
      <alignment horizontal="center"/>
    </xf>
    <xf numFmtId="2" fontId="43" fillId="0" borderId="0" xfId="0" applyNumberFormat="1" applyFont="1" applyAlignment="1">
      <alignment horizontal="center"/>
    </xf>
    <xf numFmtId="44" fontId="43" fillId="0" borderId="0" xfId="0" applyNumberFormat="1" applyFont="1" applyAlignment="1">
      <alignment horizontal="right"/>
    </xf>
    <xf numFmtId="0" fontId="43" fillId="0" borderId="0" xfId="0" applyFont="1"/>
    <xf numFmtId="0" fontId="36" fillId="0" borderId="0" xfId="0" applyFont="1" applyBorder="1"/>
    <xf numFmtId="0" fontId="5" fillId="4" borderId="8" xfId="0" applyFont="1" applyFill="1" applyBorder="1" applyAlignment="1">
      <alignment vertical="top" wrapText="1"/>
    </xf>
    <xf numFmtId="0" fontId="36" fillId="0" borderId="13" xfId="0" applyFont="1" applyBorder="1" applyAlignment="1">
      <alignment horizontal="center" vertical="top"/>
    </xf>
    <xf numFmtId="0" fontId="7" fillId="0" borderId="13" xfId="0" applyFont="1" applyBorder="1"/>
    <xf numFmtId="0" fontId="36" fillId="0" borderId="13" xfId="0" applyFont="1" applyBorder="1" applyAlignment="1">
      <alignment horizontal="center"/>
    </xf>
    <xf numFmtId="2" fontId="36" fillId="0" borderId="13" xfId="0" applyNumberFormat="1" applyFont="1" applyBorder="1" applyAlignment="1">
      <alignment horizontal="center"/>
    </xf>
    <xf numFmtId="0" fontId="36" fillId="0" borderId="13" xfId="0" applyFont="1" applyBorder="1"/>
    <xf numFmtId="44" fontId="7" fillId="0" borderId="13" xfId="0" applyNumberFormat="1" applyFont="1" applyBorder="1"/>
    <xf numFmtId="0" fontId="45" fillId="0" borderId="0" xfId="0" applyFont="1"/>
    <xf numFmtId="0" fontId="4" fillId="0" borderId="8" xfId="0" applyFont="1" applyBorder="1" applyAlignment="1">
      <alignment vertical="top" wrapText="1"/>
    </xf>
    <xf numFmtId="49" fontId="5" fillId="0" borderId="51" xfId="24" applyNumberFormat="1" applyFont="1" applyBorder="1" applyAlignment="1">
      <alignment horizontal="center" vertical="top"/>
    </xf>
    <xf numFmtId="49" fontId="44" fillId="0" borderId="0" xfId="0" applyNumberFormat="1" applyFont="1" applyAlignment="1">
      <alignment horizontal="center" vertical="top"/>
    </xf>
    <xf numFmtId="0" fontId="5" fillId="0" borderId="45" xfId="0" applyFont="1" applyBorder="1" applyAlignment="1" applyProtection="1">
      <alignment horizontal="left" vertical="top" wrapText="1"/>
    </xf>
    <xf numFmtId="0" fontId="5" fillId="0" borderId="37" xfId="0" applyFont="1" applyBorder="1" applyAlignment="1">
      <alignment horizontal="center" vertical="top"/>
    </xf>
    <xf numFmtId="2" fontId="5" fillId="0" borderId="8" xfId="0" applyNumberFormat="1" applyFont="1" applyFill="1" applyBorder="1" applyAlignment="1">
      <alignment horizontal="center"/>
    </xf>
    <xf numFmtId="0" fontId="5" fillId="0" borderId="45" xfId="0" applyFont="1" applyBorder="1" applyAlignment="1">
      <alignment horizontal="center"/>
    </xf>
    <xf numFmtId="2" fontId="5" fillId="0" borderId="45" xfId="0" applyNumberFormat="1" applyFont="1" applyBorder="1" applyAlignment="1">
      <alignment horizontal="center"/>
    </xf>
    <xf numFmtId="49" fontId="5" fillId="0" borderId="48" xfId="0" applyNumberFormat="1" applyFont="1" applyBorder="1" applyAlignment="1">
      <alignment horizontal="center" vertical="top"/>
    </xf>
    <xf numFmtId="0" fontId="5" fillId="0" borderId="47" xfId="0" applyFont="1" applyBorder="1" applyAlignment="1">
      <alignment horizontal="left" vertical="center" wrapText="1"/>
    </xf>
    <xf numFmtId="0" fontId="5" fillId="0" borderId="47" xfId="0" applyFont="1" applyBorder="1" applyAlignment="1">
      <alignment horizontal="center"/>
    </xf>
    <xf numFmtId="2" fontId="5" fillId="0" borderId="47" xfId="0" applyNumberFormat="1" applyFont="1" applyBorder="1" applyAlignment="1">
      <alignment horizontal="center"/>
    </xf>
    <xf numFmtId="0" fontId="37" fillId="4" borderId="0" xfId="0" applyFont="1" applyFill="1" applyAlignment="1">
      <alignment horizontal="left" vertical="center"/>
    </xf>
    <xf numFmtId="0" fontId="37" fillId="4" borderId="0" xfId="0" applyFont="1" applyFill="1" applyAlignment="1">
      <alignment horizontal="center"/>
    </xf>
    <xf numFmtId="2" fontId="37" fillId="4" borderId="0" xfId="0" applyNumberFormat="1" applyFont="1" applyFill="1" applyAlignment="1">
      <alignment horizontal="center"/>
    </xf>
    <xf numFmtId="44" fontId="5" fillId="0" borderId="8" xfId="0" applyNumberFormat="1" applyFont="1" applyBorder="1" applyAlignment="1">
      <alignment horizontal="right"/>
    </xf>
    <xf numFmtId="0" fontId="5" fillId="0" borderId="18" xfId="0" applyFont="1" applyBorder="1" applyAlignment="1">
      <alignment horizontal="left" vertical="center"/>
    </xf>
    <xf numFmtId="0" fontId="5" fillId="0" borderId="18" xfId="0" applyFont="1" applyBorder="1" applyAlignment="1">
      <alignment horizontal="left" vertical="center" wrapText="1"/>
    </xf>
    <xf numFmtId="0" fontId="5" fillId="0" borderId="18" xfId="0" applyFont="1" applyBorder="1" applyAlignment="1">
      <alignment horizontal="left" vertical="top" wrapText="1"/>
    </xf>
    <xf numFmtId="0" fontId="4" fillId="0" borderId="0" xfId="9" applyAlignment="1">
      <alignment vertical="center"/>
    </xf>
    <xf numFmtId="0" fontId="5" fillId="0" borderId="0" xfId="9" applyFont="1" applyAlignment="1">
      <alignment vertical="center"/>
    </xf>
    <xf numFmtId="171" fontId="5" fillId="0" borderId="0" xfId="9" applyNumberFormat="1" applyFont="1" applyAlignment="1">
      <alignment vertical="center"/>
    </xf>
    <xf numFmtId="0" fontId="42" fillId="0" borderId="0" xfId="235" applyFont="1" applyAlignment="1" applyProtection="1">
      <alignment horizontal="left" vertical="center"/>
      <protection locked="0"/>
    </xf>
    <xf numFmtId="0" fontId="42" fillId="0" borderId="0" xfId="235" applyFont="1" applyAlignment="1" applyProtection="1">
      <alignment horizontal="left" vertical="center" wrapText="1"/>
      <protection locked="0"/>
    </xf>
    <xf numFmtId="0" fontId="4" fillId="0" borderId="0" xfId="9" applyAlignment="1">
      <alignment vertical="center" wrapText="1"/>
    </xf>
    <xf numFmtId="0" fontId="42" fillId="0" borderId="0" xfId="9" applyFont="1" applyAlignment="1">
      <alignment horizontal="center" vertical="center"/>
    </xf>
    <xf numFmtId="171" fontId="5" fillId="0" borderId="0" xfId="9" applyNumberFormat="1" applyFont="1" applyAlignment="1">
      <alignment vertical="center" wrapText="1"/>
    </xf>
    <xf numFmtId="0" fontId="42" fillId="0" borderId="0" xfId="209" applyFont="1" applyAlignment="1">
      <alignment vertical="top" wrapText="1"/>
    </xf>
    <xf numFmtId="0" fontId="42" fillId="0" borderId="0" xfId="209" applyFont="1" applyAlignment="1">
      <alignment vertical="center" wrapText="1"/>
    </xf>
    <xf numFmtId="171" fontId="37" fillId="0" borderId="0" xfId="209" applyNumberFormat="1" applyFont="1" applyAlignment="1">
      <alignment vertical="center" wrapText="1"/>
    </xf>
    <xf numFmtId="0" fontId="42" fillId="0" borderId="0" xfId="209" applyFont="1" applyAlignment="1">
      <alignment horizontal="right" vertical="top" wrapText="1"/>
    </xf>
    <xf numFmtId="0" fontId="42" fillId="0" borderId="0" xfId="209" applyFont="1" applyAlignment="1">
      <alignment horizontal="right" vertical="center" wrapText="1"/>
    </xf>
    <xf numFmtId="171" fontId="5" fillId="0" borderId="0" xfId="236" applyNumberFormat="1" applyFont="1" applyAlignment="1">
      <alignment vertical="center" wrapText="1"/>
    </xf>
    <xf numFmtId="171" fontId="37" fillId="0" borderId="0" xfId="236" applyNumberFormat="1" applyFont="1" applyAlignment="1">
      <alignment vertical="center" wrapText="1"/>
    </xf>
    <xf numFmtId="0" fontId="4" fillId="0" borderId="0" xfId="8" applyAlignment="1">
      <alignment horizontal="justify" vertical="top"/>
    </xf>
    <xf numFmtId="0" fontId="4" fillId="0" borderId="0" xfId="8" applyAlignment="1">
      <alignment vertical="center"/>
    </xf>
    <xf numFmtId="0" fontId="4" fillId="0" borderId="0" xfId="8" applyAlignment="1">
      <alignment horizontal="justify" vertical="top" wrapText="1"/>
    </xf>
    <xf numFmtId="0" fontId="4" fillId="0" borderId="0" xfId="8" applyAlignment="1">
      <alignment horizontal="right" vertical="center" wrapText="1"/>
    </xf>
    <xf numFmtId="0" fontId="4" fillId="0" borderId="0" xfId="8" applyAlignment="1">
      <alignment horizontal="left" vertical="top" wrapText="1"/>
    </xf>
    <xf numFmtId="0" fontId="4" fillId="0" borderId="0" xfId="8" applyAlignment="1">
      <alignment horizontal="right" wrapText="1"/>
    </xf>
    <xf numFmtId="0" fontId="4" fillId="0" borderId="0" xfId="209" applyFont="1" applyAlignment="1">
      <alignment vertical="center" wrapText="1"/>
    </xf>
    <xf numFmtId="49" fontId="4" fillId="0" borderId="0" xfId="237" applyNumberFormat="1" applyAlignment="1" applyProtection="1">
      <alignment vertical="top" wrapText="1"/>
      <protection locked="0"/>
    </xf>
    <xf numFmtId="0" fontId="4" fillId="0" borderId="0" xfId="209" applyFont="1" applyAlignment="1">
      <alignment vertical="top" wrapText="1"/>
    </xf>
    <xf numFmtId="0" fontId="4" fillId="0" borderId="0" xfId="209" applyFont="1" applyAlignment="1">
      <alignment wrapText="1"/>
    </xf>
    <xf numFmtId="0" fontId="5" fillId="0" borderId="0" xfId="209" applyFont="1" applyAlignment="1">
      <alignment vertical="center" wrapText="1"/>
    </xf>
    <xf numFmtId="0" fontId="4" fillId="0" borderId="0" xfId="0" applyFont="1" applyAlignment="1">
      <alignment vertical="top" wrapText="1"/>
    </xf>
    <xf numFmtId="0" fontId="5" fillId="0" borderId="0" xfId="0" applyFont="1" applyAlignment="1">
      <alignment horizontal="center" vertical="top" wrapText="1"/>
    </xf>
    <xf numFmtId="0" fontId="5" fillId="0" borderId="0" xfId="0" applyFont="1" applyAlignment="1">
      <alignment vertical="top" wrapText="1"/>
    </xf>
    <xf numFmtId="0" fontId="4" fillId="0" borderId="0" xfId="0" applyFont="1" applyAlignment="1">
      <alignment wrapText="1"/>
    </xf>
    <xf numFmtId="0" fontId="5" fillId="0" borderId="0" xfId="0" applyFont="1" applyAlignment="1">
      <alignment wrapText="1"/>
    </xf>
    <xf numFmtId="0" fontId="46" fillId="0" borderId="0" xfId="0" applyFont="1" applyProtection="1">
      <protection locked="0"/>
    </xf>
    <xf numFmtId="0" fontId="0" fillId="0" borderId="0" xfId="0" applyProtection="1">
      <protection locked="0"/>
    </xf>
    <xf numFmtId="0" fontId="4" fillId="0" borderId="0" xfId="209" applyFont="1" applyAlignment="1">
      <alignment horizontal="right" wrapText="1"/>
    </xf>
    <xf numFmtId="0" fontId="4" fillId="0" borderId="0" xfId="0" applyFont="1" applyAlignment="1">
      <alignment horizontal="right" wrapText="1"/>
    </xf>
    <xf numFmtId="0" fontId="11" fillId="0" borderId="0" xfId="238" applyFont="1" applyAlignment="1">
      <alignment vertical="top" wrapText="1"/>
    </xf>
    <xf numFmtId="171" fontId="4" fillId="0" borderId="0" xfId="14" applyNumberFormat="1" applyAlignment="1">
      <alignment wrapText="1"/>
    </xf>
    <xf numFmtId="0" fontId="11" fillId="0" borderId="0" xfId="235" applyFont="1" applyAlignment="1" applyProtection="1">
      <alignment vertical="top" wrapText="1"/>
      <protection locked="0"/>
    </xf>
    <xf numFmtId="49" fontId="4" fillId="0" borderId="0" xfId="235" applyNumberFormat="1" applyFont="1" applyAlignment="1" applyProtection="1">
      <alignment horizontal="center" vertical="top" wrapText="1"/>
      <protection locked="0"/>
    </xf>
    <xf numFmtId="0" fontId="4" fillId="0" borderId="0" xfId="235" applyFont="1" applyAlignment="1" applyProtection="1">
      <alignment vertical="top" wrapText="1"/>
      <protection locked="0"/>
    </xf>
    <xf numFmtId="0" fontId="4" fillId="0" borderId="0" xfId="235" applyFont="1" applyAlignment="1" applyProtection="1">
      <alignment wrapText="1"/>
      <protection locked="0"/>
    </xf>
    <xf numFmtId="4" fontId="47" fillId="0" borderId="0" xfId="236" applyNumberFormat="1" applyFont="1" applyAlignment="1">
      <alignment wrapText="1"/>
    </xf>
    <xf numFmtId="0" fontId="4" fillId="0" borderId="0" xfId="235" applyFont="1" applyAlignment="1">
      <alignment vertical="top" wrapText="1"/>
    </xf>
    <xf numFmtId="0" fontId="4" fillId="0" borderId="0" xfId="235" applyFont="1" applyAlignment="1">
      <alignment horizontal="right" wrapText="1"/>
    </xf>
    <xf numFmtId="0" fontId="4" fillId="0" borderId="0" xfId="235" applyFont="1" applyAlignment="1">
      <alignment wrapText="1"/>
    </xf>
    <xf numFmtId="0" fontId="42" fillId="0" borderId="0" xfId="8" applyFont="1" applyAlignment="1">
      <alignment horizontal="right" vertical="top"/>
    </xf>
    <xf numFmtId="0" fontId="42" fillId="0" borderId="0" xfId="8" applyFont="1" applyAlignment="1">
      <alignment horizontal="right" wrapText="1"/>
    </xf>
    <xf numFmtId="0" fontId="4" fillId="0" borderId="0" xfId="8" applyAlignment="1">
      <alignment horizontal="right"/>
    </xf>
    <xf numFmtId="0" fontId="42" fillId="0" borderId="0" xfId="8" applyFont="1" applyAlignment="1">
      <alignment horizontal="justify" vertical="top"/>
    </xf>
    <xf numFmtId="0" fontId="5" fillId="0" borderId="0" xfId="9" applyFont="1" applyAlignment="1">
      <alignment vertical="top" wrapText="1"/>
    </xf>
    <xf numFmtId="0" fontId="4" fillId="0" borderId="0" xfId="9" applyAlignment="1">
      <alignment wrapText="1"/>
    </xf>
    <xf numFmtId="0" fontId="5" fillId="0" borderId="0" xfId="9" applyFont="1" applyAlignment="1">
      <alignment vertical="center" wrapText="1"/>
    </xf>
    <xf numFmtId="0" fontId="42" fillId="0" borderId="0" xfId="8" applyFont="1" applyAlignment="1">
      <alignment horizontal="left" vertical="top"/>
    </xf>
    <xf numFmtId="0" fontId="4" fillId="0" borderId="0" xfId="8" applyAlignment="1">
      <alignment horizontal="right" vertical="top" wrapText="1"/>
    </xf>
    <xf numFmtId="0" fontId="4" fillId="0" borderId="0" xfId="9" applyAlignment="1">
      <alignment vertical="top" wrapText="1"/>
    </xf>
    <xf numFmtId="0" fontId="4" fillId="0" borderId="0" xfId="239" applyAlignment="1">
      <alignment vertical="top" wrapText="1"/>
    </xf>
    <xf numFmtId="0" fontId="4" fillId="0" borderId="0" xfId="239" applyAlignment="1">
      <alignment wrapText="1"/>
    </xf>
    <xf numFmtId="0" fontId="37" fillId="0" borderId="0" xfId="9" applyFont="1" applyAlignment="1">
      <alignment vertical="top" wrapText="1"/>
    </xf>
    <xf numFmtId="0" fontId="42" fillId="0" borderId="0" xfId="9" applyFont="1" applyAlignment="1">
      <alignment wrapText="1"/>
    </xf>
    <xf numFmtId="0" fontId="42" fillId="0" borderId="0" xfId="9" applyFont="1" applyAlignment="1">
      <alignment vertical="center" wrapText="1"/>
    </xf>
    <xf numFmtId="0" fontId="4" fillId="0" borderId="0" xfId="9" applyAlignment="1">
      <alignment horizontal="right" wrapText="1"/>
    </xf>
    <xf numFmtId="0" fontId="37" fillId="0" borderId="0" xfId="9" applyFont="1" applyAlignment="1">
      <alignment horizontal="right" vertical="top" wrapText="1"/>
    </xf>
    <xf numFmtId="0" fontId="42" fillId="0" borderId="0" xfId="209" applyFont="1" applyAlignment="1">
      <alignment horizontal="right" wrapText="1"/>
    </xf>
    <xf numFmtId="0" fontId="42" fillId="0" borderId="0" xfId="209" applyFont="1" applyAlignment="1">
      <alignment wrapText="1"/>
    </xf>
    <xf numFmtId="0" fontId="42" fillId="0" borderId="0" xfId="8" applyFont="1" applyAlignment="1">
      <alignment horizontal="left" vertical="top" wrapText="1"/>
    </xf>
    <xf numFmtId="0" fontId="42" fillId="0" borderId="0" xfId="9" applyFont="1" applyAlignment="1">
      <alignment vertical="top" wrapText="1"/>
    </xf>
    <xf numFmtId="0" fontId="42" fillId="0" borderId="0" xfId="8" applyFont="1" applyAlignment="1">
      <alignment horizontal="justify" vertical="center"/>
    </xf>
    <xf numFmtId="0" fontId="4" fillId="0" borderId="0" xfId="8" applyAlignment="1">
      <alignment horizontal="right" vertical="center"/>
    </xf>
    <xf numFmtId="0" fontId="4" fillId="0" borderId="52" xfId="9" applyBorder="1" applyAlignment="1">
      <alignment vertical="center" wrapText="1"/>
    </xf>
    <xf numFmtId="0" fontId="42" fillId="0" borderId="0" xfId="235" applyFont="1" applyAlignment="1" applyProtection="1">
      <alignment horizontal="right" vertical="center" wrapText="1"/>
      <protection locked="0"/>
    </xf>
    <xf numFmtId="0" fontId="4" fillId="0" borderId="0" xfId="9" applyAlignment="1">
      <alignment horizontal="right" vertical="center"/>
    </xf>
    <xf numFmtId="0" fontId="4" fillId="0" borderId="0" xfId="9" applyAlignment="1">
      <alignment horizontal="right" vertical="center" wrapText="1"/>
    </xf>
    <xf numFmtId="0" fontId="5" fillId="0" borderId="0" xfId="209" applyFont="1" applyAlignment="1">
      <alignment horizontal="right" wrapText="1"/>
    </xf>
    <xf numFmtId="0" fontId="5" fillId="0" borderId="0" xfId="0" applyFont="1" applyAlignment="1">
      <alignment horizontal="right" wrapText="1"/>
    </xf>
    <xf numFmtId="0" fontId="4" fillId="0" borderId="0" xfId="235" applyFont="1" applyAlignment="1" applyProtection="1">
      <alignment horizontal="right" wrapText="1"/>
      <protection locked="0"/>
    </xf>
    <xf numFmtId="0" fontId="42" fillId="0" borderId="0" xfId="8" applyFont="1" applyAlignment="1">
      <alignment horizontal="right"/>
    </xf>
    <xf numFmtId="0" fontId="5" fillId="0" borderId="0" xfId="9" applyFont="1" applyAlignment="1">
      <alignment horizontal="right" wrapText="1"/>
    </xf>
    <xf numFmtId="0" fontId="4" fillId="0" borderId="0" xfId="239" applyAlignment="1">
      <alignment horizontal="right" wrapText="1"/>
    </xf>
    <xf numFmtId="0" fontId="37" fillId="0" borderId="0" xfId="9" applyFont="1" applyAlignment="1">
      <alignment horizontal="right" wrapText="1"/>
    </xf>
    <xf numFmtId="0" fontId="42" fillId="0" borderId="0" xfId="9" applyFont="1" applyAlignment="1">
      <alignment horizontal="right" wrapText="1"/>
    </xf>
    <xf numFmtId="0" fontId="42" fillId="0" borderId="0" xfId="8" applyFont="1" applyAlignment="1">
      <alignment horizontal="right" vertical="center" wrapText="1"/>
    </xf>
    <xf numFmtId="0" fontId="4" fillId="0" borderId="52" xfId="9" applyBorder="1" applyAlignment="1">
      <alignment horizontal="right" vertical="center" wrapText="1"/>
    </xf>
    <xf numFmtId="0" fontId="49" fillId="0" borderId="8" xfId="0" applyFont="1" applyBorder="1" applyAlignment="1">
      <alignment horizontal="left"/>
    </xf>
    <xf numFmtId="0" fontId="49" fillId="0" borderId="8" xfId="0" applyFont="1" applyBorder="1" applyAlignment="1">
      <alignment horizontal="center" vertical="center"/>
    </xf>
    <xf numFmtId="39" fontId="49" fillId="0" borderId="6" xfId="0" applyNumberFormat="1" applyFont="1" applyBorder="1" applyAlignment="1">
      <alignment horizontal="right" vertical="center"/>
    </xf>
    <xf numFmtId="174" fontId="49" fillId="0" borderId="0" xfId="0" applyNumberFormat="1" applyFont="1" applyAlignment="1">
      <alignment horizontal="left"/>
    </xf>
    <xf numFmtId="0" fontId="49" fillId="0" borderId="0" xfId="0" applyFont="1" applyAlignment="1">
      <alignment horizontal="left" vertical="center"/>
    </xf>
    <xf numFmtId="175" fontId="49" fillId="0" borderId="0" xfId="0" applyNumberFormat="1" applyFont="1" applyAlignment="1">
      <alignment vertical="center"/>
    </xf>
    <xf numFmtId="0" fontId="49" fillId="0" borderId="0" xfId="0" applyFont="1" applyAlignment="1">
      <alignment vertical="center"/>
    </xf>
    <xf numFmtId="0" fontId="49" fillId="0" borderId="0" xfId="0" applyFont="1" applyAlignment="1">
      <alignment horizontal="right" vertical="center"/>
    </xf>
    <xf numFmtId="0" fontId="49" fillId="0" borderId="0" xfId="0" applyFont="1" applyAlignment="1">
      <alignment horizontal="left"/>
    </xf>
    <xf numFmtId="0" fontId="51" fillId="0" borderId="0" xfId="0" applyFont="1" applyAlignment="1">
      <alignment horizontal="left" vertical="center"/>
    </xf>
    <xf numFmtId="0" fontId="50" fillId="0" borderId="0" xfId="0" applyFont="1" applyAlignment="1">
      <alignment horizontal="left" vertical="center"/>
    </xf>
    <xf numFmtId="0" fontId="49" fillId="0" borderId="0" xfId="0" quotePrefix="1" applyFont="1" applyAlignment="1">
      <alignment horizontal="left" vertical="center"/>
    </xf>
    <xf numFmtId="0" fontId="52" fillId="0" borderId="0" xfId="0" applyFont="1" applyAlignment="1">
      <alignment horizontal="left" vertical="center"/>
    </xf>
    <xf numFmtId="174" fontId="49" fillId="0" borderId="0" xfId="0" applyNumberFormat="1" applyFont="1" applyAlignment="1">
      <alignment horizontal="left" vertical="top"/>
    </xf>
    <xf numFmtId="0" fontId="49" fillId="0" borderId="0" xfId="0" applyFont="1" applyAlignment="1">
      <alignment horizontal="left" vertical="center" wrapText="1"/>
    </xf>
    <xf numFmtId="175" fontId="49" fillId="0" borderId="0" xfId="0" applyNumberFormat="1" applyFont="1"/>
    <xf numFmtId="0" fontId="49" fillId="0" borderId="52" xfId="0" applyFont="1" applyBorder="1" applyAlignment="1">
      <alignment horizontal="left" vertical="center"/>
    </xf>
    <xf numFmtId="174" fontId="55" fillId="0" borderId="0" xfId="0" applyNumberFormat="1" applyFont="1" applyAlignment="1">
      <alignment horizontal="left"/>
    </xf>
    <xf numFmtId="0" fontId="55" fillId="0" borderId="0" xfId="0" applyFont="1" applyAlignment="1">
      <alignment horizontal="left" vertical="center"/>
    </xf>
    <xf numFmtId="175" fontId="55" fillId="0" borderId="0" xfId="0" applyNumberFormat="1" applyFont="1" applyAlignment="1">
      <alignment vertical="center"/>
    </xf>
    <xf numFmtId="0" fontId="56" fillId="0" borderId="0" xfId="0" applyFont="1" applyAlignment="1">
      <alignment horizontal="justify" wrapText="1"/>
    </xf>
    <xf numFmtId="0" fontId="49" fillId="0" borderId="0" xfId="0" applyFont="1" applyAlignment="1">
      <alignment horizontal="left" vertical="top" wrapText="1"/>
    </xf>
    <xf numFmtId="0" fontId="50" fillId="0" borderId="0" xfId="0" applyFont="1" applyAlignment="1">
      <alignment horizontal="left"/>
    </xf>
    <xf numFmtId="0" fontId="4" fillId="0" borderId="0" xfId="0" applyFont="1" applyAlignment="1">
      <alignment horizontal="center" wrapText="1"/>
    </xf>
    <xf numFmtId="0" fontId="57" fillId="0" borderId="0" xfId="0" applyFont="1" applyAlignment="1">
      <alignment horizontal="left" indent="2"/>
    </xf>
    <xf numFmtId="0" fontId="4" fillId="0" borderId="0" xfId="0" applyFont="1" applyAlignment="1">
      <alignment horizontal="left" wrapText="1"/>
    </xf>
    <xf numFmtId="0" fontId="36" fillId="0" borderId="0" xfId="0" applyFont="1" applyAlignment="1">
      <alignment wrapText="1"/>
    </xf>
    <xf numFmtId="0" fontId="4" fillId="0" borderId="0" xfId="0" applyFont="1"/>
    <xf numFmtId="0" fontId="40" fillId="0" borderId="0" xfId="0" applyFont="1" applyAlignment="1">
      <alignment horizontal="center" vertical="top" wrapText="1"/>
    </xf>
    <xf numFmtId="0" fontId="59" fillId="0" borderId="0" xfId="0" applyFont="1" applyAlignment="1">
      <alignment horizontal="center" vertical="center" wrapText="1"/>
    </xf>
    <xf numFmtId="0" fontId="40" fillId="0" borderId="0" xfId="0" applyFont="1" applyAlignment="1">
      <alignment wrapText="1"/>
    </xf>
    <xf numFmtId="171" fontId="36" fillId="0" borderId="0" xfId="0" applyNumberFormat="1" applyFont="1" applyAlignment="1">
      <alignment wrapText="1"/>
    </xf>
    <xf numFmtId="16" fontId="42" fillId="0" borderId="0" xfId="0" applyNumberFormat="1" applyFont="1" applyAlignment="1">
      <alignment horizontal="center" vertical="top" wrapText="1"/>
    </xf>
    <xf numFmtId="0" fontId="42" fillId="0" borderId="0" xfId="0" applyFont="1" applyAlignment="1">
      <alignment horizontal="left" wrapText="1"/>
    </xf>
    <xf numFmtId="0" fontId="42" fillId="0" borderId="0" xfId="0" applyFont="1" applyAlignment="1">
      <alignment horizontal="center" wrapText="1"/>
    </xf>
    <xf numFmtId="171" fontId="4" fillId="0" borderId="0" xfId="240" applyNumberFormat="1" applyAlignment="1">
      <alignment wrapText="1"/>
    </xf>
    <xf numFmtId="0" fontId="42" fillId="0" borderId="0" xfId="0" applyFont="1" applyAlignment="1">
      <alignment wrapText="1"/>
    </xf>
    <xf numFmtId="0" fontId="4" fillId="0" borderId="0" xfId="0" applyFont="1" applyAlignment="1">
      <alignment horizontal="center" vertical="top" wrapText="1"/>
    </xf>
    <xf numFmtId="49" fontId="0" fillId="0" borderId="0" xfId="3" applyNumberFormat="1" applyFont="1" applyAlignment="1">
      <alignment horizontal="left" vertical="top" wrapText="1"/>
    </xf>
    <xf numFmtId="0" fontId="5" fillId="0" borderId="0" xfId="235" applyFont="1" applyAlignment="1" applyProtection="1">
      <alignment wrapText="1"/>
      <protection locked="0"/>
    </xf>
    <xf numFmtId="49" fontId="0" fillId="0" borderId="0" xfId="3" quotePrefix="1" applyNumberFormat="1" applyFont="1" applyAlignment="1">
      <alignment horizontal="justify" vertical="top"/>
    </xf>
    <xf numFmtId="0" fontId="5" fillId="0" borderId="0" xfId="235" applyFont="1" applyAlignment="1" applyProtection="1">
      <alignment vertical="top" wrapText="1"/>
      <protection locked="0"/>
    </xf>
    <xf numFmtId="172" fontId="4" fillId="0" borderId="0" xfId="238" applyNumberFormat="1" applyFont="1" applyAlignment="1">
      <alignment horizontal="center" vertical="top" wrapText="1"/>
    </xf>
    <xf numFmtId="0" fontId="4" fillId="0" borderId="0" xfId="238" applyFont="1" applyAlignment="1">
      <alignment wrapText="1"/>
    </xf>
    <xf numFmtId="0" fontId="4" fillId="0" borderId="0" xfId="238" applyFont="1" applyAlignment="1">
      <alignment horizontal="right" wrapText="1"/>
    </xf>
    <xf numFmtId="0" fontId="42" fillId="0" borderId="0" xfId="0" applyFont="1" applyAlignment="1">
      <alignment horizontal="center" vertical="top" wrapText="1"/>
    </xf>
    <xf numFmtId="0" fontId="42" fillId="0" borderId="0" xfId="0" applyFont="1" applyAlignment="1">
      <alignment horizontal="right" wrapText="1"/>
    </xf>
    <xf numFmtId="49" fontId="0" fillId="0" borderId="0" xfId="3" applyNumberFormat="1" applyFont="1" applyAlignment="1">
      <alignment vertical="top" wrapText="1"/>
    </xf>
    <xf numFmtId="0" fontId="4" fillId="0" borderId="0" xfId="0" applyFont="1" applyAlignment="1">
      <alignment horizontal="right"/>
    </xf>
    <xf numFmtId="0" fontId="6" fillId="0" borderId="0" xfId="0" applyFont="1" applyAlignment="1">
      <alignment wrapText="1"/>
    </xf>
    <xf numFmtId="0" fontId="42" fillId="0" borderId="0" xfId="239" applyFont="1" applyAlignment="1">
      <alignment vertical="top" wrapText="1"/>
    </xf>
    <xf numFmtId="0" fontId="42" fillId="0" borderId="0" xfId="239" applyFont="1" applyAlignment="1">
      <alignment wrapText="1"/>
    </xf>
    <xf numFmtId="0" fontId="42" fillId="0" borderId="52" xfId="0" applyFont="1" applyBorder="1" applyAlignment="1">
      <alignment horizontal="center" wrapText="1"/>
    </xf>
    <xf numFmtId="0" fontId="42" fillId="0" borderId="52" xfId="0" applyFont="1" applyBorder="1" applyAlignment="1">
      <alignment wrapText="1"/>
    </xf>
    <xf numFmtId="0" fontId="42" fillId="0" borderId="0" xfId="0" applyFont="1" applyAlignment="1">
      <alignment vertical="center" wrapText="1"/>
    </xf>
    <xf numFmtId="49" fontId="4" fillId="0" borderId="0" xfId="235" applyNumberFormat="1" applyFont="1" applyAlignment="1">
      <alignment horizontal="center" vertical="top" wrapText="1"/>
    </xf>
    <xf numFmtId="0" fontId="61" fillId="0" borderId="0" xfId="0" quotePrefix="1" applyFont="1" applyAlignment="1">
      <alignment horizontal="left" wrapText="1"/>
    </xf>
    <xf numFmtId="0" fontId="36" fillId="0" borderId="0" xfId="0" quotePrefix="1" applyFont="1" applyAlignment="1">
      <alignment horizontal="left" wrapText="1"/>
    </xf>
    <xf numFmtId="0" fontId="4" fillId="0" borderId="0" xfId="240" applyAlignment="1">
      <alignment wrapText="1"/>
    </xf>
    <xf numFmtId="0" fontId="50" fillId="6" borderId="0" xfId="0" applyFont="1" applyFill="1" applyAlignment="1">
      <alignment horizontal="left"/>
    </xf>
    <xf numFmtId="0" fontId="50" fillId="6" borderId="52" xfId="0" applyFont="1" applyFill="1" applyBorder="1" applyAlignment="1">
      <alignment horizontal="left" vertical="center"/>
    </xf>
    <xf numFmtId="0" fontId="50" fillId="6" borderId="52" xfId="0" applyFont="1" applyFill="1" applyBorder="1" applyAlignment="1">
      <alignment vertical="center"/>
    </xf>
    <xf numFmtId="0" fontId="6" fillId="0" borderId="0" xfId="9" applyFont="1" applyAlignment="1">
      <alignment vertical="center" wrapText="1"/>
    </xf>
    <xf numFmtId="0" fontId="42" fillId="6" borderId="0" xfId="0" applyFont="1" applyFill="1" applyAlignment="1">
      <alignment vertical="center" wrapText="1"/>
    </xf>
    <xf numFmtId="0" fontId="42" fillId="6" borderId="0" xfId="0" applyFont="1" applyFill="1" applyAlignment="1">
      <alignment horizontal="center" vertical="center" wrapText="1"/>
    </xf>
    <xf numFmtId="0" fontId="58" fillId="6" borderId="5" xfId="0" applyFont="1" applyFill="1" applyBorder="1" applyAlignment="1">
      <alignment horizontal="center" vertical="center" wrapText="1"/>
    </xf>
    <xf numFmtId="171" fontId="58" fillId="6" borderId="5" xfId="0" applyNumberFormat="1" applyFont="1" applyFill="1" applyBorder="1" applyAlignment="1">
      <alignment horizontal="center" vertical="center" wrapText="1"/>
    </xf>
    <xf numFmtId="0" fontId="42" fillId="6" borderId="0" xfId="9" applyFont="1" applyFill="1" applyAlignment="1">
      <alignment vertical="center" wrapText="1"/>
    </xf>
    <xf numFmtId="0" fontId="37" fillId="6" borderId="0" xfId="9" applyFont="1" applyFill="1" applyAlignment="1">
      <alignment horizontal="right" vertical="center" wrapText="1"/>
    </xf>
    <xf numFmtId="174" fontId="50" fillId="6" borderId="0" xfId="0" applyNumberFormat="1" applyFont="1" applyFill="1" applyAlignment="1">
      <alignment horizontal="left"/>
    </xf>
    <xf numFmtId="0" fontId="49" fillId="6" borderId="0" xfId="0" applyFont="1" applyFill="1" applyAlignment="1">
      <alignment vertical="center"/>
    </xf>
    <xf numFmtId="175" fontId="49" fillId="6" borderId="0" xfId="0" applyNumberFormat="1" applyFont="1" applyFill="1" applyAlignment="1">
      <alignment vertical="center"/>
    </xf>
    <xf numFmtId="0" fontId="49" fillId="6" borderId="0" xfId="0" applyFont="1" applyFill="1" applyAlignment="1">
      <alignment horizontal="right" vertical="center"/>
    </xf>
    <xf numFmtId="0" fontId="40" fillId="0" borderId="0" xfId="9" applyFont="1" applyAlignment="1">
      <alignment horizontal="center" vertical="center"/>
    </xf>
    <xf numFmtId="49" fontId="42" fillId="0" borderId="0" xfId="235" applyNumberFormat="1" applyFont="1" applyAlignment="1" applyProtection="1">
      <alignment horizontal="center" vertical="center" wrapText="1"/>
      <protection locked="0"/>
    </xf>
    <xf numFmtId="0" fontId="4" fillId="0" borderId="0" xfId="9" applyAlignment="1">
      <alignment horizontal="center" vertical="center"/>
    </xf>
    <xf numFmtId="0" fontId="4" fillId="0" borderId="0" xfId="9" applyAlignment="1">
      <alignment horizontal="center" vertical="center" wrapText="1"/>
    </xf>
    <xf numFmtId="16" fontId="42" fillId="0" borderId="0" xfId="209" applyNumberFormat="1" applyFont="1" applyAlignment="1">
      <alignment horizontal="center" vertical="top" wrapText="1"/>
    </xf>
    <xf numFmtId="0" fontId="42" fillId="0" borderId="0" xfId="209" applyFont="1" applyAlignment="1">
      <alignment horizontal="center" vertical="top" wrapText="1"/>
    </xf>
    <xf numFmtId="0" fontId="4" fillId="0" borderId="0" xfId="8" applyAlignment="1">
      <alignment horizontal="right" vertical="top"/>
    </xf>
    <xf numFmtId="0" fontId="4" fillId="0" borderId="0" xfId="8" applyAlignment="1">
      <alignment horizontal="center" vertical="top"/>
    </xf>
    <xf numFmtId="0" fontId="5" fillId="0" borderId="0" xfId="209" applyFont="1" applyAlignment="1">
      <alignment horizontal="center" vertical="top" wrapText="1"/>
    </xf>
    <xf numFmtId="0" fontId="5" fillId="0" borderId="0" xfId="0" applyFont="1" applyAlignment="1">
      <alignment horizontal="right" vertical="top" wrapText="1"/>
    </xf>
    <xf numFmtId="172" fontId="4" fillId="0" borderId="0" xfId="235" applyNumberFormat="1" applyFont="1" applyAlignment="1">
      <alignment horizontal="center" vertical="top" wrapText="1"/>
    </xf>
    <xf numFmtId="0" fontId="4" fillId="0" borderId="0" xfId="8" applyAlignment="1">
      <alignment horizontal="center" vertical="top" wrapText="1"/>
    </xf>
    <xf numFmtId="0" fontId="37" fillId="0" borderId="0" xfId="9" applyFont="1" applyAlignment="1">
      <alignment horizontal="center" vertical="top" wrapText="1"/>
    </xf>
    <xf numFmtId="0" fontId="4" fillId="0" borderId="0" xfId="9" applyAlignment="1">
      <alignment horizontal="center" vertical="top" wrapText="1"/>
    </xf>
    <xf numFmtId="0" fontId="5" fillId="0" borderId="0" xfId="9" applyFont="1" applyAlignment="1">
      <alignment horizontal="center" vertical="top" wrapText="1"/>
    </xf>
    <xf numFmtId="0" fontId="4" fillId="0" borderId="0" xfId="209" applyFont="1" applyAlignment="1">
      <alignment horizontal="center" vertical="top" wrapText="1"/>
    </xf>
    <xf numFmtId="173" fontId="4" fillId="0" borderId="0" xfId="209" applyNumberFormat="1" applyFont="1" applyAlignment="1">
      <alignment horizontal="center" vertical="top" wrapText="1"/>
    </xf>
    <xf numFmtId="0" fontId="42" fillId="0" borderId="0" xfId="8" applyFont="1" applyAlignment="1">
      <alignment horizontal="right" vertical="center"/>
    </xf>
    <xf numFmtId="0" fontId="4" fillId="0" borderId="52" xfId="9" applyBorder="1" applyAlignment="1">
      <alignment horizontal="center" vertical="center" wrapText="1"/>
    </xf>
    <xf numFmtId="0" fontId="42" fillId="0" borderId="52" xfId="239" applyFont="1" applyBorder="1" applyAlignment="1">
      <alignment wrapText="1"/>
    </xf>
    <xf numFmtId="0" fontId="5" fillId="0" borderId="0" xfId="235" applyFont="1" applyAlignment="1" applyProtection="1">
      <alignment horizontal="right" wrapText="1"/>
      <protection locked="0"/>
    </xf>
    <xf numFmtId="0" fontId="5" fillId="0" borderId="0" xfId="235" applyFont="1" applyAlignment="1" applyProtection="1">
      <alignment horizontal="right" vertical="top" wrapText="1"/>
      <protection locked="0"/>
    </xf>
    <xf numFmtId="0" fontId="42" fillId="0" borderId="0" xfId="239" applyFont="1" applyAlignment="1">
      <alignment horizontal="right" wrapText="1"/>
    </xf>
    <xf numFmtId="0" fontId="42" fillId="0" borderId="52" xfId="239" applyFont="1" applyBorder="1" applyAlignment="1">
      <alignment horizontal="right" wrapText="1"/>
    </xf>
    <xf numFmtId="0" fontId="37" fillId="6" borderId="0" xfId="9" applyFont="1" applyFill="1" applyAlignment="1">
      <alignment horizontal="center" vertical="center" wrapText="1"/>
    </xf>
    <xf numFmtId="0" fontId="62" fillId="0" borderId="0" xfId="0" applyFont="1"/>
    <xf numFmtId="0" fontId="42" fillId="6" borderId="0" xfId="0" applyFont="1" applyFill="1" applyAlignment="1">
      <alignment horizontal="right" vertical="center" wrapText="1"/>
    </xf>
    <xf numFmtId="0" fontId="58" fillId="6" borderId="5" xfId="0" applyFont="1" applyFill="1" applyBorder="1" applyAlignment="1">
      <alignment horizontal="right" vertical="center" wrapText="1"/>
    </xf>
    <xf numFmtId="0" fontId="0" fillId="0" borderId="8" xfId="0" applyBorder="1" applyAlignment="1">
      <alignment horizontal="center" vertical="top"/>
    </xf>
    <xf numFmtId="44" fontId="0" fillId="0" borderId="8" xfId="221" applyFont="1" applyBorder="1"/>
    <xf numFmtId="2" fontId="5" fillId="0" borderId="8" xfId="24" applyNumberFormat="1" applyFont="1" applyBorder="1" applyAlignment="1">
      <alignment horizontal="center"/>
    </xf>
    <xf numFmtId="0" fontId="5" fillId="0" borderId="45" xfId="0" applyFont="1" applyBorder="1" applyAlignment="1">
      <alignment horizontal="left" vertical="top" wrapText="1"/>
    </xf>
    <xf numFmtId="44" fontId="5" fillId="0" borderId="45" xfId="0" applyNumberFormat="1" applyFont="1" applyBorder="1" applyAlignment="1">
      <alignment horizontal="right"/>
    </xf>
    <xf numFmtId="0" fontId="5" fillId="0" borderId="47" xfId="0" applyFont="1" applyBorder="1" applyAlignment="1">
      <alignment horizontal="left" vertical="center"/>
    </xf>
    <xf numFmtId="0" fontId="63" fillId="0" borderId="0" xfId="0" applyFont="1" applyAlignment="1">
      <alignment vertical="top"/>
    </xf>
    <xf numFmtId="175" fontId="50" fillId="0" borderId="0" xfId="0" applyNumberFormat="1" applyFont="1" applyAlignment="1">
      <alignment vertical="center"/>
    </xf>
    <xf numFmtId="0" fontId="49" fillId="0" borderId="52" xfId="0" applyFont="1" applyBorder="1" applyAlignment="1">
      <alignment vertical="center"/>
    </xf>
    <xf numFmtId="0" fontId="5" fillId="0" borderId="50" xfId="24" applyFont="1" applyBorder="1" applyAlignment="1">
      <alignment horizontal="left" vertical="top" wrapText="1"/>
    </xf>
    <xf numFmtId="0" fontId="5" fillId="0" borderId="50" xfId="24" applyFont="1" applyBorder="1" applyAlignment="1">
      <alignment horizontal="center"/>
    </xf>
    <xf numFmtId="2" fontId="5" fillId="0" borderId="50" xfId="24" applyNumberFormat="1" applyFont="1" applyBorder="1" applyAlignment="1">
      <alignment horizontal="center"/>
    </xf>
    <xf numFmtId="44" fontId="5" fillId="0" borderId="50" xfId="1" applyNumberFormat="1" applyFont="1" applyBorder="1" applyAlignment="1">
      <alignment horizontal="right"/>
    </xf>
    <xf numFmtId="44" fontId="5" fillId="0" borderId="54" xfId="1" applyNumberFormat="1" applyFont="1" applyBorder="1" applyAlignment="1">
      <alignment horizontal="right"/>
    </xf>
    <xf numFmtId="0" fontId="5" fillId="0" borderId="50" xfId="0" applyFont="1" applyBorder="1" applyAlignment="1">
      <alignment horizontal="center"/>
    </xf>
    <xf numFmtId="2" fontId="5" fillId="0" borderId="50" xfId="0" applyNumberFormat="1" applyFont="1" applyBorder="1" applyAlignment="1">
      <alignment horizontal="center"/>
    </xf>
    <xf numFmtId="44" fontId="5" fillId="0" borderId="50" xfId="0" applyNumberFormat="1" applyFont="1" applyBorder="1" applyAlignment="1">
      <alignment horizontal="right"/>
    </xf>
    <xf numFmtId="0" fontId="5" fillId="0" borderId="50" xfId="0" applyFont="1" applyBorder="1" applyAlignment="1">
      <alignment horizontal="left" vertical="center"/>
    </xf>
    <xf numFmtId="0" fontId="5" fillId="4" borderId="18" xfId="0" applyFont="1" applyFill="1" applyBorder="1" applyAlignment="1">
      <alignment horizontal="left" vertical="top" wrapText="1"/>
    </xf>
    <xf numFmtId="2" fontId="5" fillId="0" borderId="8" xfId="0" applyNumberFormat="1" applyFont="1" applyFill="1" applyBorder="1" applyAlignment="1" applyProtection="1">
      <alignment horizontal="center"/>
    </xf>
    <xf numFmtId="0" fontId="65" fillId="6" borderId="5" xfId="9" applyFont="1" applyFill="1" applyBorder="1" applyAlignment="1">
      <alignment horizontal="center" vertical="center"/>
    </xf>
    <xf numFmtId="0" fontId="65" fillId="6" borderId="5" xfId="9" applyFont="1" applyFill="1" applyBorder="1" applyAlignment="1">
      <alignment horizontal="center" vertical="center" wrapText="1"/>
    </xf>
    <xf numFmtId="0" fontId="65" fillId="6" borderId="5" xfId="9" applyFont="1" applyFill="1" applyBorder="1" applyAlignment="1">
      <alignment horizontal="right" vertical="center"/>
    </xf>
    <xf numFmtId="171" fontId="65" fillId="6" borderId="5" xfId="9" applyNumberFormat="1" applyFont="1" applyFill="1" applyBorder="1" applyAlignment="1">
      <alignment horizontal="center" vertical="center"/>
    </xf>
    <xf numFmtId="0" fontId="49" fillId="0" borderId="8" xfId="241" applyFont="1" applyFill="1" applyBorder="1" applyAlignment="1">
      <alignment horizontal="left" vertical="center" wrapText="1"/>
    </xf>
    <xf numFmtId="0" fontId="49" fillId="0" borderId="53" xfId="241" applyFont="1" applyFill="1" applyBorder="1" applyAlignment="1">
      <alignment horizontal="left" vertical="center" wrapText="1"/>
    </xf>
    <xf numFmtId="44" fontId="49" fillId="0" borderId="0" xfId="0" applyNumberFormat="1" applyFont="1" applyAlignment="1">
      <alignment vertical="center"/>
    </xf>
    <xf numFmtId="44" fontId="49" fillId="0" borderId="0" xfId="0" applyNumberFormat="1" applyFont="1" applyAlignment="1">
      <alignment horizontal="right" vertical="center"/>
    </xf>
    <xf numFmtId="44" fontId="50" fillId="0" borderId="53" xfId="21" applyNumberFormat="1" applyFont="1" applyBorder="1" applyAlignment="1">
      <alignment horizontal="right" vertical="center"/>
    </xf>
    <xf numFmtId="44" fontId="54" fillId="0" borderId="0" xfId="0" applyNumberFormat="1" applyFont="1" applyAlignment="1">
      <alignment vertical="center"/>
    </xf>
    <xf numFmtId="44" fontId="55" fillId="0" borderId="0" xfId="0" applyNumberFormat="1" applyFont="1" applyAlignment="1">
      <alignment vertical="center"/>
    </xf>
    <xf numFmtId="44" fontId="55" fillId="0" borderId="0" xfId="0" applyNumberFormat="1" applyFont="1" applyAlignment="1">
      <alignment horizontal="right" vertical="center"/>
    </xf>
    <xf numFmtId="44" fontId="49" fillId="0" borderId="0" xfId="0" applyNumberFormat="1" applyFont="1"/>
    <xf numFmtId="44" fontId="49" fillId="0" borderId="0" xfId="0" applyNumberFormat="1" applyFont="1" applyAlignment="1">
      <alignment horizontal="right"/>
    </xf>
    <xf numFmtId="44" fontId="50" fillId="0" borderId="0" xfId="0" applyNumberFormat="1" applyFont="1" applyAlignment="1">
      <alignment vertical="center"/>
    </xf>
    <xf numFmtId="44" fontId="50" fillId="0" borderId="0" xfId="0" applyNumberFormat="1" applyFont="1" applyAlignment="1">
      <alignment horizontal="right" vertical="center"/>
    </xf>
    <xf numFmtId="44" fontId="50" fillId="6" borderId="52" xfId="21" applyNumberFormat="1" applyFont="1" applyFill="1" applyBorder="1" applyAlignment="1">
      <alignment horizontal="right" vertical="center"/>
    </xf>
    <xf numFmtId="44" fontId="5" fillId="0" borderId="0" xfId="14" applyNumberFormat="1" applyFont="1" applyAlignment="1">
      <alignment wrapText="1"/>
    </xf>
    <xf numFmtId="44" fontId="5" fillId="0" borderId="0" xfId="0" applyNumberFormat="1" applyFont="1" applyAlignment="1">
      <alignment wrapText="1"/>
    </xf>
    <xf numFmtId="44" fontId="5" fillId="0" borderId="0" xfId="209" applyNumberFormat="1" applyFont="1" applyAlignment="1">
      <alignment wrapText="1"/>
    </xf>
    <xf numFmtId="44" fontId="37" fillId="0" borderId="0" xfId="9" applyNumberFormat="1" applyFont="1" applyAlignment="1">
      <alignment wrapText="1"/>
    </xf>
    <xf numFmtId="44" fontId="37" fillId="0" borderId="0" xfId="14" applyNumberFormat="1" applyFont="1" applyAlignment="1">
      <alignment wrapText="1"/>
    </xf>
    <xf numFmtId="44" fontId="5" fillId="0" borderId="0" xfId="9" applyNumberFormat="1" applyFont="1" applyAlignment="1">
      <alignment wrapText="1"/>
    </xf>
    <xf numFmtId="44" fontId="37" fillId="0" borderId="0" xfId="209" applyNumberFormat="1" applyFont="1" applyAlignment="1">
      <alignment wrapText="1"/>
    </xf>
    <xf numFmtId="44" fontId="37" fillId="0" borderId="0" xfId="236" applyNumberFormat="1" applyFont="1" applyAlignment="1">
      <alignment wrapText="1"/>
    </xf>
    <xf numFmtId="44" fontId="48" fillId="0" borderId="0" xfId="9" applyNumberFormat="1" applyFont="1" applyAlignment="1">
      <alignment vertical="center" wrapText="1"/>
    </xf>
    <xf numFmtId="44" fontId="37" fillId="0" borderId="0" xfId="9" applyNumberFormat="1" applyFont="1" applyAlignment="1">
      <alignment vertical="center" wrapText="1"/>
    </xf>
    <xf numFmtId="44" fontId="48" fillId="0" borderId="52" xfId="9" applyNumberFormat="1" applyFont="1" applyBorder="1" applyAlignment="1">
      <alignment vertical="center" wrapText="1"/>
    </xf>
    <xf numFmtId="44" fontId="37" fillId="6" borderId="0" xfId="240" applyNumberFormat="1" applyFont="1" applyFill="1" applyAlignment="1">
      <alignment vertical="center" wrapText="1"/>
    </xf>
    <xf numFmtId="44" fontId="60" fillId="0" borderId="0" xfId="0" applyNumberFormat="1" applyFont="1" applyAlignment="1">
      <alignment horizontal="right"/>
    </xf>
    <xf numFmtId="44" fontId="4" fillId="0" borderId="0" xfId="0" applyNumberFormat="1" applyFont="1" applyAlignment="1">
      <alignment wrapText="1"/>
    </xf>
    <xf numFmtId="44" fontId="4" fillId="0" borderId="0" xfId="240" applyNumberFormat="1" applyAlignment="1">
      <alignment wrapText="1"/>
    </xf>
    <xf numFmtId="44" fontId="42" fillId="0" borderId="0" xfId="240" applyNumberFormat="1" applyFont="1" applyAlignment="1">
      <alignment wrapText="1"/>
    </xf>
    <xf numFmtId="44" fontId="42" fillId="0" borderId="0" xfId="0" applyNumberFormat="1" applyFont="1" applyAlignment="1">
      <alignment horizontal="right"/>
    </xf>
    <xf numFmtId="44" fontId="42" fillId="0" borderId="52" xfId="240" applyNumberFormat="1" applyFont="1" applyBorder="1" applyAlignment="1">
      <alignment wrapText="1"/>
    </xf>
    <xf numFmtId="44" fontId="42" fillId="6" borderId="0" xfId="240" applyNumberFormat="1" applyFont="1" applyFill="1" applyAlignment="1">
      <alignment vertical="center" wrapText="1"/>
    </xf>
    <xf numFmtId="44" fontId="5" fillId="0" borderId="34" xfId="1" applyNumberFormat="1" applyFont="1" applyBorder="1" applyAlignment="1" applyProtection="1">
      <alignment horizontal="right"/>
      <protection locked="0"/>
    </xf>
    <xf numFmtId="44" fontId="5" fillId="0" borderId="8" xfId="1" applyNumberFormat="1" applyFont="1" applyBorder="1" applyAlignment="1" applyProtection="1">
      <alignment horizontal="right"/>
      <protection locked="0"/>
    </xf>
    <xf numFmtId="44" fontId="4" fillId="4" borderId="8" xfId="1" applyNumberFormat="1" applyFont="1" applyFill="1" applyBorder="1" applyAlignment="1" applyProtection="1">
      <alignment horizontal="right"/>
      <protection locked="0"/>
    </xf>
    <xf numFmtId="170" fontId="0" fillId="0" borderId="8" xfId="22" applyNumberFormat="1" applyFont="1" applyBorder="1" applyAlignment="1" applyProtection="1">
      <alignment horizontal="right"/>
      <protection locked="0"/>
    </xf>
    <xf numFmtId="44" fontId="5" fillId="0" borderId="47" xfId="1" applyNumberFormat="1" applyFont="1" applyFill="1" applyBorder="1" applyAlignment="1" applyProtection="1">
      <alignment horizontal="right"/>
      <protection locked="0"/>
    </xf>
    <xf numFmtId="44" fontId="5" fillId="0" borderId="8" xfId="1" applyNumberFormat="1" applyFont="1" applyFill="1" applyBorder="1" applyAlignment="1" applyProtection="1">
      <alignment horizontal="right"/>
      <protection locked="0"/>
    </xf>
    <xf numFmtId="44" fontId="5" fillId="4" borderId="8" xfId="1" applyNumberFormat="1" applyFont="1" applyFill="1" applyBorder="1" applyAlignment="1" applyProtection="1">
      <alignment horizontal="right"/>
      <protection locked="0"/>
    </xf>
    <xf numFmtId="44" fontId="5" fillId="0" borderId="8" xfId="0" applyNumberFormat="1" applyFont="1" applyBorder="1" applyAlignment="1" applyProtection="1">
      <alignment horizontal="right"/>
      <protection locked="0"/>
    </xf>
    <xf numFmtId="44" fontId="5" fillId="0" borderId="47" xfId="0" applyNumberFormat="1" applyFont="1" applyBorder="1" applyAlignment="1" applyProtection="1">
      <alignment horizontal="right"/>
      <protection locked="0"/>
    </xf>
    <xf numFmtId="44" fontId="5" fillId="0" borderId="18" xfId="0" applyNumberFormat="1" applyFont="1" applyBorder="1" applyAlignment="1" applyProtection="1">
      <alignment horizontal="right"/>
      <protection locked="0"/>
    </xf>
    <xf numFmtId="44" fontId="5" fillId="0" borderId="8" xfId="34" applyNumberFormat="1" applyFont="1" applyBorder="1" applyAlignment="1" applyProtection="1">
      <alignment horizontal="right"/>
      <protection locked="0"/>
    </xf>
    <xf numFmtId="44" fontId="5" fillId="0" borderId="8" xfId="216" applyNumberFormat="1" applyFont="1" applyBorder="1" applyAlignment="1" applyProtection="1">
      <alignment horizontal="right"/>
      <protection locked="0"/>
    </xf>
    <xf numFmtId="44" fontId="5" fillId="0" borderId="18" xfId="1" applyNumberFormat="1" applyFont="1" applyFill="1" applyBorder="1" applyAlignment="1" applyProtection="1">
      <alignment horizontal="right"/>
      <protection locked="0"/>
    </xf>
    <xf numFmtId="44" fontId="5" fillId="0" borderId="18" xfId="1" applyNumberFormat="1" applyFont="1" applyBorder="1" applyAlignment="1" applyProtection="1">
      <alignment horizontal="right"/>
      <protection locked="0"/>
    </xf>
    <xf numFmtId="44" fontId="5" fillId="0" borderId="0" xfId="14" applyNumberFormat="1" applyFont="1" applyAlignment="1" applyProtection="1">
      <alignment wrapText="1"/>
      <protection locked="0"/>
    </xf>
    <xf numFmtId="44" fontId="5" fillId="0" borderId="0" xfId="209" applyNumberFormat="1" applyFont="1" applyAlignment="1" applyProtection="1">
      <alignment wrapText="1"/>
      <protection locked="0"/>
    </xf>
    <xf numFmtId="44" fontId="37" fillId="0" borderId="0" xfId="9" applyNumberFormat="1" applyFont="1" applyAlignment="1" applyProtection="1">
      <alignment wrapText="1"/>
      <protection locked="0"/>
    </xf>
    <xf numFmtId="44" fontId="5" fillId="0" borderId="0" xfId="9" applyNumberFormat="1" applyFont="1" applyAlignment="1" applyProtection="1">
      <alignment wrapText="1"/>
      <protection locked="0"/>
    </xf>
    <xf numFmtId="44" fontId="37" fillId="0" borderId="0" xfId="209" applyNumberFormat="1" applyFont="1" applyAlignment="1" applyProtection="1">
      <alignment wrapText="1"/>
      <protection locked="0"/>
    </xf>
    <xf numFmtId="44" fontId="37" fillId="0" borderId="0" xfId="240" applyNumberFormat="1" applyFont="1" applyAlignment="1" applyProtection="1">
      <alignment wrapText="1"/>
      <protection locked="0"/>
    </xf>
    <xf numFmtId="44" fontId="37" fillId="6" borderId="0" xfId="240" applyNumberFormat="1" applyFont="1" applyFill="1" applyAlignment="1" applyProtection="1">
      <alignment vertical="center" wrapText="1"/>
      <protection locked="0"/>
    </xf>
    <xf numFmtId="44" fontId="60" fillId="0" borderId="0" xfId="0" applyNumberFormat="1" applyFont="1" applyAlignment="1" applyProtection="1">
      <alignment horizontal="right"/>
      <protection locked="0"/>
    </xf>
    <xf numFmtId="44" fontId="4" fillId="0" borderId="0" xfId="0" applyNumberFormat="1" applyFont="1" applyAlignment="1" applyProtection="1">
      <alignment wrapText="1"/>
      <protection locked="0"/>
    </xf>
    <xf numFmtId="44" fontId="4" fillId="0" borderId="0" xfId="240" applyNumberFormat="1" applyAlignment="1" applyProtection="1">
      <alignment wrapText="1"/>
      <protection locked="0"/>
    </xf>
    <xf numFmtId="44" fontId="42" fillId="0" borderId="0" xfId="240" applyNumberFormat="1" applyFont="1" applyAlignment="1" applyProtection="1">
      <alignment wrapText="1"/>
      <protection locked="0"/>
    </xf>
    <xf numFmtId="44" fontId="4" fillId="0" borderId="0" xfId="0" applyNumberFormat="1" applyFont="1" applyAlignment="1" applyProtection="1">
      <alignment horizontal="right"/>
      <protection locked="0"/>
    </xf>
    <xf numFmtId="44" fontId="42" fillId="0" borderId="52" xfId="240" applyNumberFormat="1" applyFont="1" applyBorder="1" applyAlignment="1" applyProtection="1">
      <alignment wrapText="1"/>
      <protection locked="0"/>
    </xf>
    <xf numFmtId="44" fontId="42" fillId="6" borderId="0" xfId="240" applyNumberFormat="1" applyFont="1" applyFill="1" applyAlignment="1" applyProtection="1">
      <alignment vertical="center" wrapText="1"/>
      <protection locked="0"/>
    </xf>
    <xf numFmtId="44" fontId="5" fillId="4" borderId="8" xfId="19" applyNumberFormat="1" applyFont="1" applyFill="1" applyBorder="1" applyAlignment="1" applyProtection="1">
      <alignment horizontal="right"/>
      <protection locked="0"/>
    </xf>
    <xf numFmtId="44" fontId="49" fillId="0" borderId="0" xfId="0" applyNumberFormat="1" applyFont="1" applyAlignment="1" applyProtection="1">
      <alignment vertical="center"/>
      <protection locked="0"/>
    </xf>
    <xf numFmtId="44" fontId="49" fillId="0" borderId="0" xfId="0" applyNumberFormat="1" applyFont="1" applyProtection="1">
      <protection locked="0"/>
    </xf>
    <xf numFmtId="44" fontId="49" fillId="6" borderId="52" xfId="0" applyNumberFormat="1" applyFont="1" applyFill="1" applyBorder="1" applyAlignment="1" applyProtection="1">
      <alignment vertical="center"/>
      <protection locked="0"/>
    </xf>
    <xf numFmtId="44" fontId="50" fillId="0" borderId="53" xfId="0" applyNumberFormat="1" applyFont="1" applyBorder="1" applyAlignment="1" applyProtection="1">
      <alignment vertical="center"/>
      <protection locked="0"/>
    </xf>
    <xf numFmtId="0" fontId="40" fillId="0" borderId="4" xfId="6" applyFont="1" applyBorder="1" applyAlignment="1">
      <alignment horizontal="left" vertical="center" wrapText="1"/>
    </xf>
    <xf numFmtId="0" fontId="40" fillId="0" borderId="5" xfId="6" applyFont="1" applyBorder="1" applyAlignment="1">
      <alignment horizontal="left" vertical="center" wrapText="1"/>
    </xf>
    <xf numFmtId="0" fontId="40" fillId="0" borderId="6" xfId="6" applyFont="1" applyBorder="1" applyAlignment="1">
      <alignment horizontal="left" vertical="center" wrapText="1"/>
    </xf>
    <xf numFmtId="0" fontId="6" fillId="0" borderId="0" xfId="0" applyFont="1" applyAlignment="1">
      <alignment horizontal="left" wrapText="1"/>
    </xf>
    <xf numFmtId="0" fontId="9" fillId="0" borderId="0" xfId="0" applyFont="1" applyAlignment="1">
      <alignment horizontal="center"/>
    </xf>
    <xf numFmtId="0" fontId="0" fillId="0" borderId="0" xfId="0" applyAlignment="1">
      <alignment horizontal="center"/>
    </xf>
    <xf numFmtId="0" fontId="40" fillId="0" borderId="4" xfId="9" applyFont="1" applyBorder="1" applyAlignment="1">
      <alignment horizontal="left" vertical="center" wrapText="1"/>
    </xf>
    <xf numFmtId="0" fontId="40" fillId="0" borderId="5" xfId="9" applyFont="1" applyBorder="1" applyAlignment="1">
      <alignment horizontal="left" vertical="center" wrapText="1"/>
    </xf>
    <xf numFmtId="0" fontId="40" fillId="0" borderId="6" xfId="9" applyFont="1" applyBorder="1" applyAlignment="1">
      <alignment horizontal="left" vertical="center" wrapText="1"/>
    </xf>
  </cellXfs>
  <cellStyles count="242">
    <cellStyle name="20 % – Poudarek1 2" xfId="35" xr:uid="{00000000-0005-0000-0000-000000000000}"/>
    <cellStyle name="20 % – Poudarek2 2" xfId="36" xr:uid="{00000000-0005-0000-0000-000001000000}"/>
    <cellStyle name="20 % – Poudarek3 2" xfId="37" xr:uid="{00000000-0005-0000-0000-000002000000}"/>
    <cellStyle name="20 % – Poudarek4 2" xfId="38" xr:uid="{00000000-0005-0000-0000-000003000000}"/>
    <cellStyle name="20 % – Poudarek5 2" xfId="39" xr:uid="{00000000-0005-0000-0000-000004000000}"/>
    <cellStyle name="20 % – Poudarek6 2" xfId="40" xr:uid="{00000000-0005-0000-0000-000005000000}"/>
    <cellStyle name="40 % – Poudarek1 2" xfId="41" xr:uid="{00000000-0005-0000-0000-000006000000}"/>
    <cellStyle name="40 % – Poudarek2 2" xfId="42" xr:uid="{00000000-0005-0000-0000-000007000000}"/>
    <cellStyle name="40 % – Poudarek3 2" xfId="43" xr:uid="{00000000-0005-0000-0000-000008000000}"/>
    <cellStyle name="40 % – Poudarek4 2" xfId="44" xr:uid="{00000000-0005-0000-0000-000009000000}"/>
    <cellStyle name="40 % – Poudarek5 2" xfId="45" xr:uid="{00000000-0005-0000-0000-00000A000000}"/>
    <cellStyle name="40 % – Poudarek6 2" xfId="46" xr:uid="{00000000-0005-0000-0000-00000B000000}"/>
    <cellStyle name="60 % – Poudarek1 2" xfId="47" xr:uid="{00000000-0005-0000-0000-00000C000000}"/>
    <cellStyle name="60 % – Poudarek2 2" xfId="48" xr:uid="{00000000-0005-0000-0000-00000D000000}"/>
    <cellStyle name="60 % – Poudarek3 2" xfId="49" xr:uid="{00000000-0005-0000-0000-00000E000000}"/>
    <cellStyle name="60 % – Poudarek4 2" xfId="50" xr:uid="{00000000-0005-0000-0000-00000F000000}"/>
    <cellStyle name="60 % – Poudarek5 2" xfId="51" xr:uid="{00000000-0005-0000-0000-000010000000}"/>
    <cellStyle name="60 % – Poudarek6 2" xfId="52" xr:uid="{00000000-0005-0000-0000-000011000000}"/>
    <cellStyle name="Dobro 2" xfId="53" xr:uid="{00000000-0005-0000-0000-000012000000}"/>
    <cellStyle name="Izhod 2" xfId="54" xr:uid="{00000000-0005-0000-0000-000013000000}"/>
    <cellStyle name="Naslov 1 2" xfId="56" xr:uid="{00000000-0005-0000-0000-000014000000}"/>
    <cellStyle name="Naslov 2 2" xfId="57" xr:uid="{00000000-0005-0000-0000-000015000000}"/>
    <cellStyle name="Naslov 3 2" xfId="58" xr:uid="{00000000-0005-0000-0000-000016000000}"/>
    <cellStyle name="Naslov 4 2" xfId="59" xr:uid="{00000000-0005-0000-0000-000017000000}"/>
    <cellStyle name="Naslov 5" xfId="55" xr:uid="{00000000-0005-0000-0000-000018000000}"/>
    <cellStyle name="Navadno" xfId="0" builtinId="0"/>
    <cellStyle name="Navadno 10" xfId="20" xr:uid="{00000000-0005-0000-0000-00001A000000}"/>
    <cellStyle name="Navadno 10 2" xfId="24" xr:uid="{00000000-0005-0000-0000-00001B000000}"/>
    <cellStyle name="Navadno 10 2 2" xfId="97" xr:uid="{00000000-0005-0000-0000-00001C000000}"/>
    <cellStyle name="Navadno 10 2 3" xfId="192" xr:uid="{00000000-0005-0000-0000-00001D000000}"/>
    <cellStyle name="Navadno 10 3" xfId="79" xr:uid="{00000000-0005-0000-0000-00001E000000}"/>
    <cellStyle name="Navadno 10 3 2" xfId="90" xr:uid="{00000000-0005-0000-0000-00001F000000}"/>
    <cellStyle name="Navadno 10 3 2 2" xfId="98" xr:uid="{00000000-0005-0000-0000-000020000000}"/>
    <cellStyle name="Navadno 10 3 2 3" xfId="99" xr:uid="{00000000-0005-0000-0000-000021000000}"/>
    <cellStyle name="Navadno 10 3 2 4" xfId="202" xr:uid="{00000000-0005-0000-0000-000022000000}"/>
    <cellStyle name="Navadno 10 3 3" xfId="100" xr:uid="{00000000-0005-0000-0000-000023000000}"/>
    <cellStyle name="Navadno 10 4" xfId="78" xr:uid="{00000000-0005-0000-0000-000024000000}"/>
    <cellStyle name="Navadno 10 5" xfId="101" xr:uid="{00000000-0005-0000-0000-000025000000}"/>
    <cellStyle name="Navadno 10 6" xfId="213" xr:uid="{00000000-0005-0000-0000-000026000000}"/>
    <cellStyle name="Navadno 10 7" xfId="218" xr:uid="{00000000-0005-0000-0000-000027000000}"/>
    <cellStyle name="Navadno 11" xfId="32" xr:uid="{00000000-0005-0000-0000-000028000000}"/>
    <cellStyle name="Navadno 11 2" xfId="33" xr:uid="{00000000-0005-0000-0000-000029000000}"/>
    <cellStyle name="Navadno 11 3" xfId="88" xr:uid="{00000000-0005-0000-0000-00002A000000}"/>
    <cellStyle name="Navadno 11 4" xfId="87" xr:uid="{00000000-0005-0000-0000-00002B000000}"/>
    <cellStyle name="Navadno 11 4 2" xfId="92" xr:uid="{00000000-0005-0000-0000-00002C000000}"/>
    <cellStyle name="Navadno 11 4 3" xfId="102" xr:uid="{00000000-0005-0000-0000-00002D000000}"/>
    <cellStyle name="Navadno 11 4 4" xfId="103" xr:uid="{00000000-0005-0000-0000-00002E000000}"/>
    <cellStyle name="Navadno 12" xfId="34" xr:uid="{00000000-0005-0000-0000-00002F000000}"/>
    <cellStyle name="Navadno 12 2" xfId="89" xr:uid="{00000000-0005-0000-0000-000030000000}"/>
    <cellStyle name="Navadno 12 2 2" xfId="104" xr:uid="{00000000-0005-0000-0000-000031000000}"/>
    <cellStyle name="Navadno 12 2 3" xfId="105" xr:uid="{00000000-0005-0000-0000-000032000000}"/>
    <cellStyle name="Navadno 13" xfId="94" xr:uid="{00000000-0005-0000-0000-000033000000}"/>
    <cellStyle name="Navadno 13 2" xfId="107" xr:uid="{00000000-0005-0000-0000-000034000000}"/>
    <cellStyle name="Navadno 13 3" xfId="108" xr:uid="{00000000-0005-0000-0000-000035000000}"/>
    <cellStyle name="Navadno 13 4" xfId="109" xr:uid="{00000000-0005-0000-0000-000036000000}"/>
    <cellStyle name="Navadno 13 5" xfId="110" xr:uid="{00000000-0005-0000-0000-000037000000}"/>
    <cellStyle name="Navadno 13 6" xfId="106" xr:uid="{00000000-0005-0000-0000-000038000000}"/>
    <cellStyle name="Navadno 14" xfId="93" xr:uid="{00000000-0005-0000-0000-000039000000}"/>
    <cellStyle name="Navadno 14 10" xfId="111" xr:uid="{00000000-0005-0000-0000-00003A000000}"/>
    <cellStyle name="Navadno 14 11" xfId="217" xr:uid="{00000000-0005-0000-0000-00003B000000}"/>
    <cellStyle name="Navadno 14 2" xfId="112" xr:uid="{00000000-0005-0000-0000-00003C000000}"/>
    <cellStyle name="Navadno 14 2 2" xfId="113" xr:uid="{00000000-0005-0000-0000-00003D000000}"/>
    <cellStyle name="Navadno 14 2 2 2" xfId="114" xr:uid="{00000000-0005-0000-0000-00003E000000}"/>
    <cellStyle name="Navadno 14 2 2 2 2" xfId="229" xr:uid="{00000000-0005-0000-0000-00003F000000}"/>
    <cellStyle name="Navadno 14 2 2 3" xfId="230" xr:uid="{00000000-0005-0000-0000-000040000000}"/>
    <cellStyle name="Navadno 14 2 3" xfId="115" xr:uid="{00000000-0005-0000-0000-000041000000}"/>
    <cellStyle name="Navadno 14 2 3 2" xfId="225" xr:uid="{00000000-0005-0000-0000-000042000000}"/>
    <cellStyle name="Navadno 14 2 4" xfId="116" xr:uid="{00000000-0005-0000-0000-000043000000}"/>
    <cellStyle name="Navadno 14 2 4 2" xfId="227" xr:uid="{00000000-0005-0000-0000-000044000000}"/>
    <cellStyle name="Navadno 14 2 5" xfId="231" xr:uid="{00000000-0005-0000-0000-000045000000}"/>
    <cellStyle name="Navadno 14 3" xfId="117" xr:uid="{00000000-0005-0000-0000-000046000000}"/>
    <cellStyle name="Navadno 14 3 2" xfId="118" xr:uid="{00000000-0005-0000-0000-000047000000}"/>
    <cellStyle name="Navadno 14 3 2 2" xfId="228" xr:uid="{00000000-0005-0000-0000-000048000000}"/>
    <cellStyle name="Navadno 14 3 3" xfId="223" xr:uid="{00000000-0005-0000-0000-000049000000}"/>
    <cellStyle name="Navadno 14 4" xfId="119" xr:uid="{00000000-0005-0000-0000-00004A000000}"/>
    <cellStyle name="Navadno 14 4 2" xfId="224" xr:uid="{00000000-0005-0000-0000-00004B000000}"/>
    <cellStyle name="Navadno 14 5" xfId="120" xr:uid="{00000000-0005-0000-0000-00004C000000}"/>
    <cellStyle name="Navadno 14 5 2" xfId="222" xr:uid="{00000000-0005-0000-0000-00004D000000}"/>
    <cellStyle name="Navadno 14 6" xfId="121" xr:uid="{00000000-0005-0000-0000-00004E000000}"/>
    <cellStyle name="Navadno 14 6 2" xfId="226" xr:uid="{00000000-0005-0000-0000-00004F000000}"/>
    <cellStyle name="Navadno 14 7" xfId="203" xr:uid="{00000000-0005-0000-0000-000050000000}"/>
    <cellStyle name="Navadno 14 7 2" xfId="232" xr:uid="{00000000-0005-0000-0000-000051000000}"/>
    <cellStyle name="Navadno 14 8" xfId="205" xr:uid="{00000000-0005-0000-0000-000052000000}"/>
    <cellStyle name="Navadno 14 8 2" xfId="233" xr:uid="{00000000-0005-0000-0000-000053000000}"/>
    <cellStyle name="Navadno 14 9" xfId="206" xr:uid="{00000000-0005-0000-0000-000054000000}"/>
    <cellStyle name="Navadno 14 9 2" xfId="234" xr:uid="{00000000-0005-0000-0000-000055000000}"/>
    <cellStyle name="Navadno 15" xfId="212" xr:uid="{00000000-0005-0000-0000-000056000000}"/>
    <cellStyle name="Navadno 15 2" xfId="219" xr:uid="{00000000-0005-0000-0000-000057000000}"/>
    <cellStyle name="Navadno 16" xfId="211" xr:uid="{00000000-0005-0000-0000-000058000000}"/>
    <cellStyle name="Navadno 16 2" xfId="210" xr:uid="{00000000-0005-0000-0000-000059000000}"/>
    <cellStyle name="Navadno 2" xfId="2" xr:uid="{00000000-0005-0000-0000-00005A000000}"/>
    <cellStyle name="Navadno 2 10" xfId="214" xr:uid="{00000000-0005-0000-0000-00005B000000}"/>
    <cellStyle name="Navadno 2 2" xfId="3" xr:uid="{00000000-0005-0000-0000-00005C000000}"/>
    <cellStyle name="Navadno 2 2 2" xfId="122" xr:uid="{00000000-0005-0000-0000-00005D000000}"/>
    <cellStyle name="Navadno 2 2 3" xfId="174" xr:uid="{00000000-0005-0000-0000-00005E000000}"/>
    <cellStyle name="Navadno 2 3" xfId="4" xr:uid="{00000000-0005-0000-0000-00005F000000}"/>
    <cellStyle name="Navadno 2 3 2" xfId="123" xr:uid="{00000000-0005-0000-0000-000060000000}"/>
    <cellStyle name="Navadno 2 3 3" xfId="175" xr:uid="{00000000-0005-0000-0000-000061000000}"/>
    <cellStyle name="Navadno 2 4" xfId="5" xr:uid="{00000000-0005-0000-0000-000062000000}"/>
    <cellStyle name="Navadno 2 4 2" xfId="124" xr:uid="{00000000-0005-0000-0000-000063000000}"/>
    <cellStyle name="Navadno 2 4 3" xfId="176" xr:uid="{00000000-0005-0000-0000-000064000000}"/>
    <cellStyle name="Navadno 2 5" xfId="6" xr:uid="{00000000-0005-0000-0000-000065000000}"/>
    <cellStyle name="Navadno 2 5 2" xfId="125" xr:uid="{00000000-0005-0000-0000-000066000000}"/>
    <cellStyle name="Navadno 2 5 3" xfId="177" xr:uid="{00000000-0005-0000-0000-000067000000}"/>
    <cellStyle name="Navadno 2 6" xfId="81" xr:uid="{00000000-0005-0000-0000-000068000000}"/>
    <cellStyle name="Navadno 2 6 2" xfId="126" xr:uid="{00000000-0005-0000-0000-000069000000}"/>
    <cellStyle name="Navadno 2 7" xfId="127" xr:uid="{00000000-0005-0000-0000-00006A000000}"/>
    <cellStyle name="Navadno 2 8" xfId="128" xr:uid="{00000000-0005-0000-0000-00006B000000}"/>
    <cellStyle name="Navadno 2 9" xfId="173" xr:uid="{00000000-0005-0000-0000-00006C000000}"/>
    <cellStyle name="Navadno 3" xfId="7" xr:uid="{00000000-0005-0000-0000-00006D000000}"/>
    <cellStyle name="Navadno 3 2" xfId="8" xr:uid="{00000000-0005-0000-0000-00006E000000}"/>
    <cellStyle name="Navadno 3 2 2" xfId="129" xr:uid="{00000000-0005-0000-0000-00006F000000}"/>
    <cellStyle name="Navadno 3 2 3" xfId="179" xr:uid="{00000000-0005-0000-0000-000070000000}"/>
    <cellStyle name="Navadno 3 3" xfId="25" xr:uid="{00000000-0005-0000-0000-000071000000}"/>
    <cellStyle name="Navadno 3 3 2" xfId="130" xr:uid="{00000000-0005-0000-0000-000072000000}"/>
    <cellStyle name="Navadno 3 3 3" xfId="193" xr:uid="{00000000-0005-0000-0000-000073000000}"/>
    <cellStyle name="Navadno 3 4" xfId="82" xr:uid="{00000000-0005-0000-0000-000074000000}"/>
    <cellStyle name="Navadno 3 5" xfId="131" xr:uid="{00000000-0005-0000-0000-000075000000}"/>
    <cellStyle name="Navadno 3 6" xfId="178" xr:uid="{00000000-0005-0000-0000-000076000000}"/>
    <cellStyle name="Navadno 3 7" xfId="209" xr:uid="{00000000-0005-0000-0000-000077000000}"/>
    <cellStyle name="Navadno 4" xfId="9" xr:uid="{00000000-0005-0000-0000-000078000000}"/>
    <cellStyle name="Navadno 4 2" xfId="10" xr:uid="{00000000-0005-0000-0000-000079000000}"/>
    <cellStyle name="Navadno 4 2 2" xfId="132" xr:uid="{00000000-0005-0000-0000-00007A000000}"/>
    <cellStyle name="Navadno 4 2 3" xfId="181" xr:uid="{00000000-0005-0000-0000-00007B000000}"/>
    <cellStyle name="Navadno 4 2 4" xfId="208" xr:uid="{00000000-0005-0000-0000-00007C000000}"/>
    <cellStyle name="Navadno 4 3" xfId="26" xr:uid="{00000000-0005-0000-0000-00007D000000}"/>
    <cellStyle name="Navadno 4 3 2" xfId="133" xr:uid="{00000000-0005-0000-0000-00007E000000}"/>
    <cellStyle name="Navadno 4 3 3" xfId="194" xr:uid="{00000000-0005-0000-0000-00007F000000}"/>
    <cellStyle name="Navadno 4 3 4" xfId="207" xr:uid="{00000000-0005-0000-0000-000080000000}"/>
    <cellStyle name="Navadno 4 4" xfId="134" xr:uid="{00000000-0005-0000-0000-000081000000}"/>
    <cellStyle name="Navadno 4 5" xfId="180" xr:uid="{00000000-0005-0000-0000-000082000000}"/>
    <cellStyle name="Navadno 5" xfId="11" xr:uid="{00000000-0005-0000-0000-000083000000}"/>
    <cellStyle name="Navadno 5 2" xfId="27" xr:uid="{00000000-0005-0000-0000-000084000000}"/>
    <cellStyle name="Navadno 5 2 2" xfId="135" xr:uid="{00000000-0005-0000-0000-000085000000}"/>
    <cellStyle name="Navadno 5 2 3" xfId="195" xr:uid="{00000000-0005-0000-0000-000086000000}"/>
    <cellStyle name="Navadno 5 3" xfId="83" xr:uid="{00000000-0005-0000-0000-000087000000}"/>
    <cellStyle name="Navadno 5 4" xfId="136" xr:uid="{00000000-0005-0000-0000-000088000000}"/>
    <cellStyle name="Navadno 5 5" xfId="182" xr:uid="{00000000-0005-0000-0000-000089000000}"/>
    <cellStyle name="Navadno 6" xfId="12" xr:uid="{00000000-0005-0000-0000-00008A000000}"/>
    <cellStyle name="Navadno 6 2" xfId="13" xr:uid="{00000000-0005-0000-0000-00008B000000}"/>
    <cellStyle name="Navadno 6 2 2" xfId="137" xr:uid="{00000000-0005-0000-0000-00008C000000}"/>
    <cellStyle name="Navadno 6 2 3" xfId="184" xr:uid="{00000000-0005-0000-0000-00008D000000}"/>
    <cellStyle name="Navadno 6 3" xfId="28" xr:uid="{00000000-0005-0000-0000-00008E000000}"/>
    <cellStyle name="Navadno 6 3 2" xfId="138" xr:uid="{00000000-0005-0000-0000-00008F000000}"/>
    <cellStyle name="Navadno 6 3 3" xfId="196" xr:uid="{00000000-0005-0000-0000-000090000000}"/>
    <cellStyle name="Navadno 6 4" xfId="84" xr:uid="{00000000-0005-0000-0000-000091000000}"/>
    <cellStyle name="Navadno 6 5" xfId="139" xr:uid="{00000000-0005-0000-0000-000092000000}"/>
    <cellStyle name="Navadno 6 6" xfId="183" xr:uid="{00000000-0005-0000-0000-000093000000}"/>
    <cellStyle name="Navadno 7" xfId="14" xr:uid="{00000000-0005-0000-0000-000094000000}"/>
    <cellStyle name="Navadno 7 2" xfId="140" xr:uid="{00000000-0005-0000-0000-000095000000}"/>
    <cellStyle name="Navadno 7 3" xfId="185" xr:uid="{00000000-0005-0000-0000-000096000000}"/>
    <cellStyle name="Navadno 8" xfId="15" xr:uid="{00000000-0005-0000-0000-000097000000}"/>
    <cellStyle name="Navadno 8 2" xfId="141" xr:uid="{00000000-0005-0000-0000-000098000000}"/>
    <cellStyle name="Navadno 8 3" xfId="186" xr:uid="{00000000-0005-0000-0000-000099000000}"/>
    <cellStyle name="Navadno 9" xfId="16" xr:uid="{00000000-0005-0000-0000-00009A000000}"/>
    <cellStyle name="Navadno 9 2" xfId="142" xr:uid="{00000000-0005-0000-0000-00009B000000}"/>
    <cellStyle name="Navadno 9 3" xfId="187" xr:uid="{00000000-0005-0000-0000-00009C000000}"/>
    <cellStyle name="Navadno_Energetika" xfId="237" xr:uid="{00000000-0005-0000-0000-00009D000000}"/>
    <cellStyle name="Navadno_Popis_LENA_LEVEC_PGD" xfId="238" xr:uid="{00000000-0005-0000-0000-00009E000000}"/>
    <cellStyle name="Navadno_POPISSIBKI_V2 2" xfId="239" xr:uid="{00000000-0005-0000-0000-00009F000000}"/>
    <cellStyle name="Navadno_Prazen popis1" xfId="236" xr:uid="{00000000-0005-0000-0000-0000A0000000}"/>
    <cellStyle name="Navadno_Prazen popis1 2" xfId="240" xr:uid="{00000000-0005-0000-0000-0000A1000000}"/>
    <cellStyle name="Navadno_TUS_Planet popis 2" xfId="235" xr:uid="{00000000-0005-0000-0000-0000A2000000}"/>
    <cellStyle name="Nevtralno 2" xfId="60" xr:uid="{00000000-0005-0000-0000-0000A3000000}"/>
    <cellStyle name="Normal_1.3.2" xfId="241" xr:uid="{00000000-0005-0000-0000-0000A4000000}"/>
    <cellStyle name="Odstotek 2" xfId="143" xr:uid="{00000000-0005-0000-0000-0000A5000000}"/>
    <cellStyle name="Odstotek 3" xfId="85" xr:uid="{00000000-0005-0000-0000-0000A6000000}"/>
    <cellStyle name="Odstotek 3 2" xfId="144" xr:uid="{00000000-0005-0000-0000-0000A7000000}"/>
    <cellStyle name="Odstotek 3 3" xfId="201" xr:uid="{00000000-0005-0000-0000-0000A8000000}"/>
    <cellStyle name="Opomba 2" xfId="61" xr:uid="{00000000-0005-0000-0000-0000A9000000}"/>
    <cellStyle name="Opomba 3" xfId="145" xr:uid="{00000000-0005-0000-0000-0000AA000000}"/>
    <cellStyle name="Opozorilo 2" xfId="62" xr:uid="{00000000-0005-0000-0000-0000AB000000}"/>
    <cellStyle name="Pojasnjevalno besedilo 2" xfId="63" xr:uid="{00000000-0005-0000-0000-0000AC000000}"/>
    <cellStyle name="Poudarek1 2" xfId="64" xr:uid="{00000000-0005-0000-0000-0000AD000000}"/>
    <cellStyle name="Poudarek2 2" xfId="65" xr:uid="{00000000-0005-0000-0000-0000AE000000}"/>
    <cellStyle name="Poudarek3 2" xfId="66" xr:uid="{00000000-0005-0000-0000-0000AF000000}"/>
    <cellStyle name="Poudarek4 2" xfId="67" xr:uid="{00000000-0005-0000-0000-0000B0000000}"/>
    <cellStyle name="Poudarek5 2" xfId="68" xr:uid="{00000000-0005-0000-0000-0000B1000000}"/>
    <cellStyle name="Poudarek6 2" xfId="69" xr:uid="{00000000-0005-0000-0000-0000B2000000}"/>
    <cellStyle name="Povezana celica 2" xfId="70" xr:uid="{00000000-0005-0000-0000-0000B3000000}"/>
    <cellStyle name="Preveri celico 2" xfId="71" xr:uid="{00000000-0005-0000-0000-0000B4000000}"/>
    <cellStyle name="Računanje 2" xfId="72" xr:uid="{00000000-0005-0000-0000-0000B5000000}"/>
    <cellStyle name="Slabo 2" xfId="73" xr:uid="{00000000-0005-0000-0000-0000B6000000}"/>
    <cellStyle name="Slog 1" xfId="74" xr:uid="{00000000-0005-0000-0000-0000B7000000}"/>
    <cellStyle name="Valuta" xfId="1" builtinId="4"/>
    <cellStyle name="Valuta 10" xfId="216" xr:uid="{00000000-0005-0000-0000-0000B9000000}"/>
    <cellStyle name="Valuta 11" xfId="215" xr:uid="{00000000-0005-0000-0000-0000BA000000}"/>
    <cellStyle name="Valuta 12" xfId="221" xr:uid="{00000000-0005-0000-0000-0000BB000000}"/>
    <cellStyle name="Valuta 2" xfId="17" xr:uid="{00000000-0005-0000-0000-0000BC000000}"/>
    <cellStyle name="Valuta 2 10" xfId="188" xr:uid="{00000000-0005-0000-0000-0000BD000000}"/>
    <cellStyle name="Valuta 2 2" xfId="30" xr:uid="{00000000-0005-0000-0000-0000BE000000}"/>
    <cellStyle name="Valuta 2 2 2" xfId="146" xr:uid="{00000000-0005-0000-0000-0000BF000000}"/>
    <cellStyle name="Valuta 2 2 2 2" xfId="147" xr:uid="{00000000-0005-0000-0000-0000C0000000}"/>
    <cellStyle name="Valuta 2 2 3" xfId="198" xr:uid="{00000000-0005-0000-0000-0000C1000000}"/>
    <cellStyle name="Valuta 2 3" xfId="148" xr:uid="{00000000-0005-0000-0000-0000C2000000}"/>
    <cellStyle name="Valuta 2 3 2" xfId="149" xr:uid="{00000000-0005-0000-0000-0000C3000000}"/>
    <cellStyle name="Valuta 2 4" xfId="150" xr:uid="{00000000-0005-0000-0000-0000C4000000}"/>
    <cellStyle name="Valuta 2 5" xfId="151" xr:uid="{00000000-0005-0000-0000-0000C5000000}"/>
    <cellStyle name="Valuta 2 6" xfId="152" xr:uid="{00000000-0005-0000-0000-0000C6000000}"/>
    <cellStyle name="Valuta 2 7" xfId="153" xr:uid="{00000000-0005-0000-0000-0000C7000000}"/>
    <cellStyle name="Valuta 2 8" xfId="154" xr:uid="{00000000-0005-0000-0000-0000C8000000}"/>
    <cellStyle name="Valuta 2 9" xfId="155" xr:uid="{00000000-0005-0000-0000-0000C9000000}"/>
    <cellStyle name="Valuta 3" xfId="18" xr:uid="{00000000-0005-0000-0000-0000CA000000}"/>
    <cellStyle name="Valuta 3 2" xfId="31" xr:uid="{00000000-0005-0000-0000-0000CB000000}"/>
    <cellStyle name="Valuta 3 2 2" xfId="156" xr:uid="{00000000-0005-0000-0000-0000CC000000}"/>
    <cellStyle name="Valuta 3 2 3" xfId="199" xr:uid="{00000000-0005-0000-0000-0000CD000000}"/>
    <cellStyle name="Valuta 3 3" xfId="157" xr:uid="{00000000-0005-0000-0000-0000CE000000}"/>
    <cellStyle name="Valuta 3 4" xfId="189" xr:uid="{00000000-0005-0000-0000-0000CF000000}"/>
    <cellStyle name="Valuta 3 5" xfId="96" xr:uid="{00000000-0005-0000-0000-0000D0000000}"/>
    <cellStyle name="Valuta 3 6" xfId="220" xr:uid="{00000000-0005-0000-0000-0000D1000000}"/>
    <cellStyle name="Valuta 4" xfId="19" xr:uid="{00000000-0005-0000-0000-0000D2000000}"/>
    <cellStyle name="Valuta 4 2" xfId="22" xr:uid="{00000000-0005-0000-0000-0000D3000000}"/>
    <cellStyle name="Valuta 4 2 2" xfId="91" xr:uid="{00000000-0005-0000-0000-0000D4000000}"/>
    <cellStyle name="Valuta 4 2 2 2" xfId="158" xr:uid="{00000000-0005-0000-0000-0000D5000000}"/>
    <cellStyle name="Valuta 4 2 2 2 2" xfId="159" xr:uid="{00000000-0005-0000-0000-0000D6000000}"/>
    <cellStyle name="Valuta 4 2 3" xfId="160" xr:uid="{00000000-0005-0000-0000-0000D7000000}"/>
    <cellStyle name="Valuta 4 3" xfId="77" xr:uid="{00000000-0005-0000-0000-0000D8000000}"/>
    <cellStyle name="Valuta 4 3 2" xfId="80" xr:uid="{00000000-0005-0000-0000-0000D9000000}"/>
    <cellStyle name="Valuta 4 3 2 2" xfId="161" xr:uid="{00000000-0005-0000-0000-0000DA000000}"/>
    <cellStyle name="Valuta 4 3 2 3" xfId="200" xr:uid="{00000000-0005-0000-0000-0000DB000000}"/>
    <cellStyle name="Valuta 4 3 3" xfId="162" xr:uid="{00000000-0005-0000-0000-0000DC000000}"/>
    <cellStyle name="Valuta 4 3 3 2" xfId="163" xr:uid="{00000000-0005-0000-0000-0000DD000000}"/>
    <cellStyle name="Valuta 4 3 4" xfId="164" xr:uid="{00000000-0005-0000-0000-0000DE000000}"/>
    <cellStyle name="Valuta 4 4" xfId="165" xr:uid="{00000000-0005-0000-0000-0000DF000000}"/>
    <cellStyle name="Valuta 4 4 2" xfId="166" xr:uid="{00000000-0005-0000-0000-0000E0000000}"/>
    <cellStyle name="Valuta 4 5" xfId="167" xr:uid="{00000000-0005-0000-0000-0000E1000000}"/>
    <cellStyle name="Valuta 5" xfId="23" xr:uid="{00000000-0005-0000-0000-0000E2000000}"/>
    <cellStyle name="Valuta 5 2" xfId="168" xr:uid="{00000000-0005-0000-0000-0000E3000000}"/>
    <cellStyle name="Valuta 5 3" xfId="191" xr:uid="{00000000-0005-0000-0000-0000E4000000}"/>
    <cellStyle name="Valuta 6" xfId="95" xr:uid="{00000000-0005-0000-0000-0000E5000000}"/>
    <cellStyle name="Valuta 6 2" xfId="204" xr:uid="{00000000-0005-0000-0000-0000E6000000}"/>
    <cellStyle name="Valuta 7" xfId="169" xr:uid="{00000000-0005-0000-0000-0000E7000000}"/>
    <cellStyle name="Valuta 8" xfId="170" xr:uid="{00000000-0005-0000-0000-0000E8000000}"/>
    <cellStyle name="Valuta 9" xfId="29" xr:uid="{00000000-0005-0000-0000-0000E9000000}"/>
    <cellStyle name="Valuta 9 2" xfId="171" xr:uid="{00000000-0005-0000-0000-0000EA000000}"/>
    <cellStyle name="Valuta 9 3" xfId="197" xr:uid="{00000000-0005-0000-0000-0000EB000000}"/>
    <cellStyle name="Vejica 2" xfId="21" xr:uid="{00000000-0005-0000-0000-0000EC000000}"/>
    <cellStyle name="Vejica 2 2" xfId="86" xr:uid="{00000000-0005-0000-0000-0000ED000000}"/>
    <cellStyle name="Vejica 2 3" xfId="172" xr:uid="{00000000-0005-0000-0000-0000EE000000}"/>
    <cellStyle name="Vejica 2 4" xfId="190" xr:uid="{00000000-0005-0000-0000-0000EF000000}"/>
    <cellStyle name="Vnos 2" xfId="75" xr:uid="{00000000-0005-0000-0000-0000F0000000}"/>
    <cellStyle name="Vsota 2" xfId="76" xr:uid="{00000000-0005-0000-0000-0000F1000000}"/>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4FF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2238375</xdr:colOff>
      <xdr:row>0</xdr:row>
      <xdr:rowOff>0</xdr:rowOff>
    </xdr:from>
    <xdr:ext cx="184731" cy="264560"/>
    <xdr:sp macro="" textlink="">
      <xdr:nvSpPr>
        <xdr:cNvPr id="2" name="PoljeZBesedilom 1">
          <a:extLst>
            <a:ext uri="{FF2B5EF4-FFF2-40B4-BE49-F238E27FC236}">
              <a16:creationId xmlns:a16="http://schemas.microsoft.com/office/drawing/2014/main" id="{79702291-AA11-4662-8C92-80F1261893CE}"/>
            </a:ext>
          </a:extLst>
        </xdr:cNvPr>
        <xdr:cNvSpPr txBox="1"/>
      </xdr:nvSpPr>
      <xdr:spPr>
        <a:xfrm>
          <a:off x="2543175" y="3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sl-SI"/>
        </a:p>
      </xdr:txBody>
    </xdr:sp>
    <xdr:clientData/>
  </xdr:oneCellAnchor>
  <xdr:oneCellAnchor>
    <xdr:from>
      <xdr:col>1</xdr:col>
      <xdr:colOff>2238375</xdr:colOff>
      <xdr:row>0</xdr:row>
      <xdr:rowOff>0</xdr:rowOff>
    </xdr:from>
    <xdr:ext cx="184731" cy="264560"/>
    <xdr:sp macro="" textlink="">
      <xdr:nvSpPr>
        <xdr:cNvPr id="3" name="PoljeZBesedilom 2">
          <a:extLst>
            <a:ext uri="{FF2B5EF4-FFF2-40B4-BE49-F238E27FC236}">
              <a16:creationId xmlns:a16="http://schemas.microsoft.com/office/drawing/2014/main" id="{7AEB9F24-9AD8-4B8C-8133-4EB40DE8E33B}"/>
            </a:ext>
          </a:extLst>
        </xdr:cNvPr>
        <xdr:cNvSpPr txBox="1"/>
      </xdr:nvSpPr>
      <xdr:spPr>
        <a:xfrm>
          <a:off x="2543175" y="3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sl-SI"/>
        </a:p>
      </xdr:txBody>
    </xdr:sp>
    <xdr:clientData/>
  </xdr:one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9"/>
  <sheetViews>
    <sheetView view="pageBreakPreview" topLeftCell="A4" zoomScaleNormal="100" zoomScaleSheetLayoutView="100" workbookViewId="0">
      <selection activeCell="F12" sqref="F12"/>
    </sheetView>
  </sheetViews>
  <sheetFormatPr defaultRowHeight="12.75"/>
  <cols>
    <col min="1" max="1" width="4.42578125" style="1" customWidth="1"/>
    <col min="2" max="2" width="40.7109375" customWidth="1"/>
    <col min="3" max="3" width="5.5703125" style="2" customWidth="1"/>
    <col min="4" max="4" width="7.7109375" style="3" customWidth="1"/>
    <col min="5" max="5" width="14.42578125" customWidth="1"/>
    <col min="6" max="6" width="15.7109375" customWidth="1"/>
    <col min="7" max="7" width="4.28515625" customWidth="1"/>
    <col min="8" max="8" width="37.7109375" customWidth="1"/>
    <col min="9" max="9" width="19.7109375" customWidth="1"/>
    <col min="10" max="10" width="7.7109375" customWidth="1"/>
    <col min="11" max="11" width="15" customWidth="1"/>
    <col min="12" max="12" width="18.5703125" customWidth="1"/>
  </cols>
  <sheetData>
    <row r="1" spans="1:6" ht="49.5" customHeight="1">
      <c r="B1" s="542" t="s">
        <v>358</v>
      </c>
      <c r="C1" s="542"/>
      <c r="D1" s="542"/>
      <c r="E1" s="542"/>
      <c r="F1" s="542"/>
    </row>
    <row r="2" spans="1:6" ht="16.5">
      <c r="B2" s="543"/>
      <c r="C2" s="544"/>
      <c r="D2" s="544"/>
      <c r="E2" s="544"/>
      <c r="F2" s="544"/>
    </row>
    <row r="3" spans="1:6" ht="15">
      <c r="A3" s="133"/>
      <c r="B3" s="134"/>
      <c r="C3" s="135"/>
      <c r="D3" s="136"/>
      <c r="E3" s="134"/>
      <c r="F3" s="134"/>
    </row>
    <row r="4" spans="1:6" ht="25.5" customHeight="1" thickBot="1">
      <c r="A4" s="137"/>
      <c r="B4" s="138" t="s">
        <v>13</v>
      </c>
      <c r="C4" s="139"/>
      <c r="D4" s="140"/>
      <c r="E4" s="141"/>
      <c r="F4" s="141"/>
    </row>
    <row r="5" spans="1:6" s="32" customFormat="1" ht="21.75" customHeight="1" thickTop="1" thickBot="1">
      <c r="A5" s="142"/>
      <c r="B5" s="143" t="s">
        <v>50</v>
      </c>
      <c r="C5" s="144"/>
      <c r="D5" s="145"/>
      <c r="E5" s="146"/>
      <c r="F5" s="127"/>
    </row>
    <row r="6" spans="1:6" ht="23.25" customHeight="1">
      <c r="A6" s="128"/>
      <c r="B6" s="129" t="s">
        <v>107</v>
      </c>
      <c r="C6" s="130"/>
      <c r="D6" s="131"/>
      <c r="E6" s="132"/>
      <c r="F6" s="26">
        <f>'PRIPRAVLJALNA DELA'!F7</f>
        <v>0</v>
      </c>
    </row>
    <row r="7" spans="1:6" ht="25.5" customHeight="1">
      <c r="A7" s="128"/>
      <c r="B7" s="129" t="s">
        <v>359</v>
      </c>
      <c r="C7" s="130"/>
      <c r="D7" s="131"/>
      <c r="E7" s="132"/>
      <c r="F7" s="26">
        <f>'ŠTORE 04-1'!F85</f>
        <v>0</v>
      </c>
    </row>
    <row r="8" spans="1:6" ht="25.5" customHeight="1">
      <c r="A8" s="128"/>
      <c r="B8" s="129" t="s">
        <v>360</v>
      </c>
      <c r="C8" s="130"/>
      <c r="D8" s="131"/>
      <c r="E8" s="132"/>
      <c r="F8" s="26">
        <f>'ŠTORE 04-1.1'!F59</f>
        <v>0</v>
      </c>
    </row>
    <row r="9" spans="1:6" s="27" customFormat="1" ht="25.5" customHeight="1">
      <c r="A9" s="128"/>
      <c r="B9" s="129" t="s">
        <v>361</v>
      </c>
      <c r="C9" s="130"/>
      <c r="D9" s="131"/>
      <c r="E9" s="132"/>
      <c r="F9" s="26">
        <f>'ŠTORE 04-2'!F84</f>
        <v>0</v>
      </c>
    </row>
    <row r="10" spans="1:6" s="27" customFormat="1" ht="25.5" customHeight="1">
      <c r="A10" s="128"/>
      <c r="B10" s="129" t="s">
        <v>362</v>
      </c>
      <c r="C10" s="130"/>
      <c r="D10" s="131"/>
      <c r="E10" s="132"/>
      <c r="F10" s="26">
        <f>'ŠTORE 04-2.1'!F68</f>
        <v>0</v>
      </c>
    </row>
    <row r="11" spans="1:6" s="27" customFormat="1" ht="25.5" customHeight="1">
      <c r="A11" s="128"/>
      <c r="B11" s="129" t="s">
        <v>363</v>
      </c>
      <c r="C11" s="130"/>
      <c r="D11" s="131"/>
      <c r="E11" s="132"/>
      <c r="F11" s="26">
        <f>'ŠTORE TL.04-T1'!F58</f>
        <v>0</v>
      </c>
    </row>
    <row r="12" spans="1:6" s="27" customFormat="1" ht="25.5" customHeight="1">
      <c r="A12" s="128"/>
      <c r="B12" s="129" t="s">
        <v>364</v>
      </c>
      <c r="C12" s="130"/>
      <c r="D12" s="131"/>
      <c r="E12" s="132"/>
      <c r="F12" s="26">
        <f>'Črpališče Č4'!F172</f>
        <v>0</v>
      </c>
    </row>
    <row r="13" spans="1:6" s="27" customFormat="1" ht="25.5" customHeight="1">
      <c r="A13" s="128"/>
      <c r="B13" s="129" t="s">
        <v>365</v>
      </c>
      <c r="C13" s="130"/>
      <c r="D13" s="131"/>
      <c r="E13" s="132"/>
      <c r="F13" s="26">
        <f>'Črpališče elektro oprema Č4'!F138</f>
        <v>0</v>
      </c>
    </row>
    <row r="14" spans="1:6" s="27" customFormat="1" ht="25.5" customHeight="1">
      <c r="A14" s="128"/>
      <c r="B14" s="129" t="s">
        <v>366</v>
      </c>
      <c r="C14" s="130"/>
      <c r="D14" s="131"/>
      <c r="E14" s="132"/>
      <c r="F14" s="26">
        <f>'Črpališče-NN prikljucek Č4'!F44</f>
        <v>0</v>
      </c>
    </row>
    <row r="15" spans="1:6" s="27" customFormat="1" ht="25.5" customHeight="1">
      <c r="A15" s="128"/>
      <c r="B15" s="129" t="s">
        <v>367</v>
      </c>
      <c r="C15" s="130"/>
      <c r="D15" s="131"/>
      <c r="E15" s="132"/>
      <c r="F15" s="26">
        <f>'ZAKLJUCNA DELA'!F7</f>
        <v>0</v>
      </c>
    </row>
    <row r="16" spans="1:6" s="27" customFormat="1" ht="25.5" customHeight="1" thickBot="1">
      <c r="A16" s="241"/>
      <c r="B16" s="242"/>
      <c r="C16" s="243"/>
      <c r="D16" s="244"/>
      <c r="E16" s="245"/>
      <c r="F16" s="246"/>
    </row>
    <row r="17" spans="1:6" ht="25.9" customHeight="1" thickBot="1">
      <c r="A17" s="29"/>
      <c r="B17" s="30" t="s">
        <v>49</v>
      </c>
      <c r="C17" s="147"/>
      <c r="D17" s="148"/>
      <c r="E17" s="149"/>
      <c r="F17" s="31">
        <f>SUM(F6:F15)</f>
        <v>0</v>
      </c>
    </row>
    <row r="18" spans="1:6" s="36" customFormat="1" ht="25.9" customHeight="1" thickBot="1">
      <c r="A18" s="33"/>
      <c r="B18" s="34" t="s">
        <v>92</v>
      </c>
      <c r="C18" s="150"/>
      <c r="D18" s="151"/>
      <c r="E18" s="152"/>
      <c r="F18" s="35">
        <f>F17*10%</f>
        <v>0</v>
      </c>
    </row>
    <row r="19" spans="1:6" ht="25.5" customHeight="1" thickBot="1">
      <c r="A19" s="8"/>
      <c r="B19" s="13" t="s">
        <v>15</v>
      </c>
      <c r="C19" s="11"/>
      <c r="D19" s="12"/>
      <c r="E19" s="7"/>
      <c r="F19" s="23">
        <f>SUM(F17:F18)</f>
        <v>0</v>
      </c>
    </row>
    <row r="20" spans="1:6" s="4" customFormat="1" ht="26.25" customHeight="1" thickBot="1">
      <c r="A20" s="14"/>
      <c r="B20" s="15" t="s">
        <v>14</v>
      </c>
      <c r="C20" s="16"/>
      <c r="D20" s="17"/>
      <c r="E20" s="18"/>
      <c r="F20" s="24">
        <f>F19*22%</f>
        <v>0</v>
      </c>
    </row>
    <row r="21" spans="1:6" s="4" customFormat="1" ht="29.25" customHeight="1" thickTop="1" thickBot="1">
      <c r="A21" s="9"/>
      <c r="B21" s="19" t="s">
        <v>27</v>
      </c>
      <c r="C21" s="20"/>
      <c r="D21" s="21"/>
      <c r="E21" s="22"/>
      <c r="F21" s="25">
        <f>F20+F19</f>
        <v>0</v>
      </c>
    </row>
    <row r="22" spans="1:6" s="4" customFormat="1" ht="15.75" thickTop="1">
      <c r="A22" s="133"/>
      <c r="B22" s="153"/>
      <c r="C22" s="135"/>
      <c r="D22" s="136"/>
      <c r="E22" s="134"/>
      <c r="F22" s="154"/>
    </row>
    <row r="23" spans="1:6" s="27" customFormat="1">
      <c r="A23" s="5"/>
      <c r="B23" s="10"/>
      <c r="C23" s="28"/>
      <c r="D23" s="6"/>
    </row>
    <row r="24" spans="1:6" s="4" customFormat="1" ht="48.75" customHeight="1">
      <c r="A24" s="545" t="s">
        <v>17</v>
      </c>
      <c r="B24" s="546"/>
      <c r="C24" s="546"/>
      <c r="D24" s="546"/>
      <c r="E24" s="546"/>
      <c r="F24" s="547"/>
    </row>
    <row r="25" spans="1:6" s="4" customFormat="1" ht="48.75" customHeight="1">
      <c r="A25" s="539" t="s">
        <v>18</v>
      </c>
      <c r="B25" s="540"/>
      <c r="C25" s="540"/>
      <c r="D25" s="540"/>
      <c r="E25" s="540"/>
      <c r="F25" s="541"/>
    </row>
    <row r="26" spans="1:6" ht="167.25" customHeight="1">
      <c r="A26" s="539" t="s">
        <v>19</v>
      </c>
      <c r="B26" s="540"/>
      <c r="C26" s="540"/>
      <c r="D26" s="540"/>
      <c r="E26" s="540"/>
      <c r="F26" s="541"/>
    </row>
    <row r="27" spans="1:6" s="27" customFormat="1" ht="48.75" customHeight="1">
      <c r="A27" s="539" t="s">
        <v>474</v>
      </c>
      <c r="B27" s="540"/>
      <c r="C27" s="540"/>
      <c r="D27" s="540"/>
      <c r="E27" s="540"/>
      <c r="F27" s="541"/>
    </row>
    <row r="28" spans="1:6" s="27" customFormat="1" ht="48.75" customHeight="1">
      <c r="A28" s="539" t="s">
        <v>475</v>
      </c>
      <c r="B28" s="540"/>
      <c r="C28" s="540"/>
      <c r="D28" s="540"/>
      <c r="E28" s="540"/>
      <c r="F28" s="541"/>
    </row>
    <row r="29" spans="1:6" ht="37.5" customHeight="1">
      <c r="A29" s="539" t="s">
        <v>20</v>
      </c>
      <c r="B29" s="540"/>
      <c r="C29" s="540"/>
      <c r="D29" s="540"/>
      <c r="E29" s="540"/>
      <c r="F29" s="541"/>
    </row>
  </sheetData>
  <sheetProtection algorithmName="SHA-512" hashValue="lwje7fUaLvQZvpdnUDS93o8O9AnufzpuXsag1/3MzYUDujS40m0LV/ht/F/pd45jUeTMKvym6YyevJPTgdwGog==" saltValue="nEM2fJJkUYDdqEe44XaBTA==" spinCount="100000" sheet="1" objects="1" scenarios="1"/>
  <mergeCells count="8">
    <mergeCell ref="A29:F29"/>
    <mergeCell ref="B1:F1"/>
    <mergeCell ref="B2:F2"/>
    <mergeCell ref="A24:F24"/>
    <mergeCell ref="A25:F25"/>
    <mergeCell ref="A26:F26"/>
    <mergeCell ref="A27:F27"/>
    <mergeCell ref="A28:F28"/>
  </mergeCells>
  <phoneticPr fontId="0" type="noConversion"/>
  <pageMargins left="0.70866141732283472" right="0.70866141732283472" top="0.74803149606299213" bottom="0.74803149606299213" header="0.31496062992125984" footer="0.31496062992125984"/>
  <pageSetup paperSize="9" orientation="portrait" r:id="rId1"/>
  <headerFooter>
    <oddHeader>&amp;LSAVINJAPROJEKT d.o.o.&amp;RŠt. projekta: 68/2018</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59999389629810485"/>
  </sheetPr>
  <dimension ref="A1:G46"/>
  <sheetViews>
    <sheetView showZeros="0" view="pageBreakPreview" topLeftCell="A23" zoomScaleNormal="100" zoomScaleSheetLayoutView="100" workbookViewId="0">
      <selection activeCell="E32" activeCellId="3" sqref="E9:E16 E24:E25 E27 E32:E44"/>
    </sheetView>
  </sheetViews>
  <sheetFormatPr defaultRowHeight="12.75"/>
  <cols>
    <col min="1" max="1" width="5.7109375" style="372" customWidth="1"/>
    <col min="2" max="2" width="46.7109375" style="296" customWidth="1"/>
    <col min="3" max="3" width="5.7109375" style="296" customWidth="1"/>
    <col min="4" max="4" width="7.7109375" style="301" customWidth="1"/>
    <col min="5" max="5" width="10.28515625" style="296" customWidth="1"/>
    <col min="6" max="6" width="12.7109375" style="296" customWidth="1"/>
    <col min="7" max="256" width="9.140625" style="296"/>
    <col min="257" max="257" width="5.7109375" style="296" customWidth="1"/>
    <col min="258" max="258" width="46.7109375" style="296" customWidth="1"/>
    <col min="259" max="260" width="5.7109375" style="296" customWidth="1"/>
    <col min="261" max="262" width="12.7109375" style="296" customWidth="1"/>
    <col min="263" max="512" width="9.140625" style="296"/>
    <col min="513" max="513" width="5.7109375" style="296" customWidth="1"/>
    <col min="514" max="514" width="46.7109375" style="296" customWidth="1"/>
    <col min="515" max="516" width="5.7109375" style="296" customWidth="1"/>
    <col min="517" max="518" width="12.7109375" style="296" customWidth="1"/>
    <col min="519" max="768" width="9.140625" style="296"/>
    <col min="769" max="769" width="5.7109375" style="296" customWidth="1"/>
    <col min="770" max="770" width="46.7109375" style="296" customWidth="1"/>
    <col min="771" max="772" width="5.7109375" style="296" customWidth="1"/>
    <col min="773" max="774" width="12.7109375" style="296" customWidth="1"/>
    <col min="775" max="1024" width="9.140625" style="296"/>
    <col min="1025" max="1025" width="5.7109375" style="296" customWidth="1"/>
    <col min="1026" max="1026" width="46.7109375" style="296" customWidth="1"/>
    <col min="1027" max="1028" width="5.7109375" style="296" customWidth="1"/>
    <col min="1029" max="1030" width="12.7109375" style="296" customWidth="1"/>
    <col min="1031" max="1280" width="9.140625" style="296"/>
    <col min="1281" max="1281" width="5.7109375" style="296" customWidth="1"/>
    <col min="1282" max="1282" width="46.7109375" style="296" customWidth="1"/>
    <col min="1283" max="1284" width="5.7109375" style="296" customWidth="1"/>
    <col min="1285" max="1286" width="12.7109375" style="296" customWidth="1"/>
    <col min="1287" max="1536" width="9.140625" style="296"/>
    <col min="1537" max="1537" width="5.7109375" style="296" customWidth="1"/>
    <col min="1538" max="1538" width="46.7109375" style="296" customWidth="1"/>
    <col min="1539" max="1540" width="5.7109375" style="296" customWidth="1"/>
    <col min="1541" max="1542" width="12.7109375" style="296" customWidth="1"/>
    <col min="1543" max="1792" width="9.140625" style="296"/>
    <col min="1793" max="1793" width="5.7109375" style="296" customWidth="1"/>
    <col min="1794" max="1794" width="46.7109375" style="296" customWidth="1"/>
    <col min="1795" max="1796" width="5.7109375" style="296" customWidth="1"/>
    <col min="1797" max="1798" width="12.7109375" style="296" customWidth="1"/>
    <col min="1799" max="2048" width="9.140625" style="296"/>
    <col min="2049" max="2049" width="5.7109375" style="296" customWidth="1"/>
    <col min="2050" max="2050" width="46.7109375" style="296" customWidth="1"/>
    <col min="2051" max="2052" width="5.7109375" style="296" customWidth="1"/>
    <col min="2053" max="2054" width="12.7109375" style="296" customWidth="1"/>
    <col min="2055" max="2304" width="9.140625" style="296"/>
    <col min="2305" max="2305" width="5.7109375" style="296" customWidth="1"/>
    <col min="2306" max="2306" width="46.7109375" style="296" customWidth="1"/>
    <col min="2307" max="2308" width="5.7109375" style="296" customWidth="1"/>
    <col min="2309" max="2310" width="12.7109375" style="296" customWidth="1"/>
    <col min="2311" max="2560" width="9.140625" style="296"/>
    <col min="2561" max="2561" width="5.7109375" style="296" customWidth="1"/>
    <col min="2562" max="2562" width="46.7109375" style="296" customWidth="1"/>
    <col min="2563" max="2564" width="5.7109375" style="296" customWidth="1"/>
    <col min="2565" max="2566" width="12.7109375" style="296" customWidth="1"/>
    <col min="2567" max="2816" width="9.140625" style="296"/>
    <col min="2817" max="2817" width="5.7109375" style="296" customWidth="1"/>
    <col min="2818" max="2818" width="46.7109375" style="296" customWidth="1"/>
    <col min="2819" max="2820" width="5.7109375" style="296" customWidth="1"/>
    <col min="2821" max="2822" width="12.7109375" style="296" customWidth="1"/>
    <col min="2823" max="3072" width="9.140625" style="296"/>
    <col min="3073" max="3073" width="5.7109375" style="296" customWidth="1"/>
    <col min="3074" max="3074" width="46.7109375" style="296" customWidth="1"/>
    <col min="3075" max="3076" width="5.7109375" style="296" customWidth="1"/>
    <col min="3077" max="3078" width="12.7109375" style="296" customWidth="1"/>
    <col min="3079" max="3328" width="9.140625" style="296"/>
    <col min="3329" max="3329" width="5.7109375" style="296" customWidth="1"/>
    <col min="3330" max="3330" width="46.7109375" style="296" customWidth="1"/>
    <col min="3331" max="3332" width="5.7109375" style="296" customWidth="1"/>
    <col min="3333" max="3334" width="12.7109375" style="296" customWidth="1"/>
    <col min="3335" max="3584" width="9.140625" style="296"/>
    <col min="3585" max="3585" width="5.7109375" style="296" customWidth="1"/>
    <col min="3586" max="3586" width="46.7109375" style="296" customWidth="1"/>
    <col min="3587" max="3588" width="5.7109375" style="296" customWidth="1"/>
    <col min="3589" max="3590" width="12.7109375" style="296" customWidth="1"/>
    <col min="3591" max="3840" width="9.140625" style="296"/>
    <col min="3841" max="3841" width="5.7109375" style="296" customWidth="1"/>
    <col min="3842" max="3842" width="46.7109375" style="296" customWidth="1"/>
    <col min="3843" max="3844" width="5.7109375" style="296" customWidth="1"/>
    <col min="3845" max="3846" width="12.7109375" style="296" customWidth="1"/>
    <col min="3847" max="4096" width="9.140625" style="296"/>
    <col min="4097" max="4097" width="5.7109375" style="296" customWidth="1"/>
    <col min="4098" max="4098" width="46.7109375" style="296" customWidth="1"/>
    <col min="4099" max="4100" width="5.7109375" style="296" customWidth="1"/>
    <col min="4101" max="4102" width="12.7109375" style="296" customWidth="1"/>
    <col min="4103" max="4352" width="9.140625" style="296"/>
    <col min="4353" max="4353" width="5.7109375" style="296" customWidth="1"/>
    <col min="4354" max="4354" width="46.7109375" style="296" customWidth="1"/>
    <col min="4355" max="4356" width="5.7109375" style="296" customWidth="1"/>
    <col min="4357" max="4358" width="12.7109375" style="296" customWidth="1"/>
    <col min="4359" max="4608" width="9.140625" style="296"/>
    <col min="4609" max="4609" width="5.7109375" style="296" customWidth="1"/>
    <col min="4610" max="4610" width="46.7109375" style="296" customWidth="1"/>
    <col min="4611" max="4612" width="5.7109375" style="296" customWidth="1"/>
    <col min="4613" max="4614" width="12.7109375" style="296" customWidth="1"/>
    <col min="4615" max="4864" width="9.140625" style="296"/>
    <col min="4865" max="4865" width="5.7109375" style="296" customWidth="1"/>
    <col min="4866" max="4866" width="46.7109375" style="296" customWidth="1"/>
    <col min="4867" max="4868" width="5.7109375" style="296" customWidth="1"/>
    <col min="4869" max="4870" width="12.7109375" style="296" customWidth="1"/>
    <col min="4871" max="5120" width="9.140625" style="296"/>
    <col min="5121" max="5121" width="5.7109375" style="296" customWidth="1"/>
    <col min="5122" max="5122" width="46.7109375" style="296" customWidth="1"/>
    <col min="5123" max="5124" width="5.7109375" style="296" customWidth="1"/>
    <col min="5125" max="5126" width="12.7109375" style="296" customWidth="1"/>
    <col min="5127" max="5376" width="9.140625" style="296"/>
    <col min="5377" max="5377" width="5.7109375" style="296" customWidth="1"/>
    <col min="5378" max="5378" width="46.7109375" style="296" customWidth="1"/>
    <col min="5379" max="5380" width="5.7109375" style="296" customWidth="1"/>
    <col min="5381" max="5382" width="12.7109375" style="296" customWidth="1"/>
    <col min="5383" max="5632" width="9.140625" style="296"/>
    <col min="5633" max="5633" width="5.7109375" style="296" customWidth="1"/>
    <col min="5634" max="5634" width="46.7109375" style="296" customWidth="1"/>
    <col min="5635" max="5636" width="5.7109375" style="296" customWidth="1"/>
    <col min="5637" max="5638" width="12.7109375" style="296" customWidth="1"/>
    <col min="5639" max="5888" width="9.140625" style="296"/>
    <col min="5889" max="5889" width="5.7109375" style="296" customWidth="1"/>
    <col min="5890" max="5890" width="46.7109375" style="296" customWidth="1"/>
    <col min="5891" max="5892" width="5.7109375" style="296" customWidth="1"/>
    <col min="5893" max="5894" width="12.7109375" style="296" customWidth="1"/>
    <col min="5895" max="6144" width="9.140625" style="296"/>
    <col min="6145" max="6145" width="5.7109375" style="296" customWidth="1"/>
    <col min="6146" max="6146" width="46.7109375" style="296" customWidth="1"/>
    <col min="6147" max="6148" width="5.7109375" style="296" customWidth="1"/>
    <col min="6149" max="6150" width="12.7109375" style="296" customWidth="1"/>
    <col min="6151" max="6400" width="9.140625" style="296"/>
    <col min="6401" max="6401" width="5.7109375" style="296" customWidth="1"/>
    <col min="6402" max="6402" width="46.7109375" style="296" customWidth="1"/>
    <col min="6403" max="6404" width="5.7109375" style="296" customWidth="1"/>
    <col min="6405" max="6406" width="12.7109375" style="296" customWidth="1"/>
    <col min="6407" max="6656" width="9.140625" style="296"/>
    <col min="6657" max="6657" width="5.7109375" style="296" customWidth="1"/>
    <col min="6658" max="6658" width="46.7109375" style="296" customWidth="1"/>
    <col min="6659" max="6660" width="5.7109375" style="296" customWidth="1"/>
    <col min="6661" max="6662" width="12.7109375" style="296" customWidth="1"/>
    <col min="6663" max="6912" width="9.140625" style="296"/>
    <col min="6913" max="6913" width="5.7109375" style="296" customWidth="1"/>
    <col min="6914" max="6914" width="46.7109375" style="296" customWidth="1"/>
    <col min="6915" max="6916" width="5.7109375" style="296" customWidth="1"/>
    <col min="6917" max="6918" width="12.7109375" style="296" customWidth="1"/>
    <col min="6919" max="7168" width="9.140625" style="296"/>
    <col min="7169" max="7169" width="5.7109375" style="296" customWidth="1"/>
    <col min="7170" max="7170" width="46.7109375" style="296" customWidth="1"/>
    <col min="7171" max="7172" width="5.7109375" style="296" customWidth="1"/>
    <col min="7173" max="7174" width="12.7109375" style="296" customWidth="1"/>
    <col min="7175" max="7424" width="9.140625" style="296"/>
    <col min="7425" max="7425" width="5.7109375" style="296" customWidth="1"/>
    <col min="7426" max="7426" width="46.7109375" style="296" customWidth="1"/>
    <col min="7427" max="7428" width="5.7109375" style="296" customWidth="1"/>
    <col min="7429" max="7430" width="12.7109375" style="296" customWidth="1"/>
    <col min="7431" max="7680" width="9.140625" style="296"/>
    <col min="7681" max="7681" width="5.7109375" style="296" customWidth="1"/>
    <col min="7682" max="7682" width="46.7109375" style="296" customWidth="1"/>
    <col min="7683" max="7684" width="5.7109375" style="296" customWidth="1"/>
    <col min="7685" max="7686" width="12.7109375" style="296" customWidth="1"/>
    <col min="7687" max="7936" width="9.140625" style="296"/>
    <col min="7937" max="7937" width="5.7109375" style="296" customWidth="1"/>
    <col min="7938" max="7938" width="46.7109375" style="296" customWidth="1"/>
    <col min="7939" max="7940" width="5.7109375" style="296" customWidth="1"/>
    <col min="7941" max="7942" width="12.7109375" style="296" customWidth="1"/>
    <col min="7943" max="8192" width="9.140625" style="296"/>
    <col min="8193" max="8193" width="5.7109375" style="296" customWidth="1"/>
    <col min="8194" max="8194" width="46.7109375" style="296" customWidth="1"/>
    <col min="8195" max="8196" width="5.7109375" style="296" customWidth="1"/>
    <col min="8197" max="8198" width="12.7109375" style="296" customWidth="1"/>
    <col min="8199" max="8448" width="9.140625" style="296"/>
    <col min="8449" max="8449" width="5.7109375" style="296" customWidth="1"/>
    <col min="8450" max="8450" width="46.7109375" style="296" customWidth="1"/>
    <col min="8451" max="8452" width="5.7109375" style="296" customWidth="1"/>
    <col min="8453" max="8454" width="12.7109375" style="296" customWidth="1"/>
    <col min="8455" max="8704" width="9.140625" style="296"/>
    <col min="8705" max="8705" width="5.7109375" style="296" customWidth="1"/>
    <col min="8706" max="8706" width="46.7109375" style="296" customWidth="1"/>
    <col min="8707" max="8708" width="5.7109375" style="296" customWidth="1"/>
    <col min="8709" max="8710" width="12.7109375" style="296" customWidth="1"/>
    <col min="8711" max="8960" width="9.140625" style="296"/>
    <col min="8961" max="8961" width="5.7109375" style="296" customWidth="1"/>
    <col min="8962" max="8962" width="46.7109375" style="296" customWidth="1"/>
    <col min="8963" max="8964" width="5.7109375" style="296" customWidth="1"/>
    <col min="8965" max="8966" width="12.7109375" style="296" customWidth="1"/>
    <col min="8967" max="9216" width="9.140625" style="296"/>
    <col min="9217" max="9217" width="5.7109375" style="296" customWidth="1"/>
    <col min="9218" max="9218" width="46.7109375" style="296" customWidth="1"/>
    <col min="9219" max="9220" width="5.7109375" style="296" customWidth="1"/>
    <col min="9221" max="9222" width="12.7109375" style="296" customWidth="1"/>
    <col min="9223" max="9472" width="9.140625" style="296"/>
    <col min="9473" max="9473" width="5.7109375" style="296" customWidth="1"/>
    <col min="9474" max="9474" width="46.7109375" style="296" customWidth="1"/>
    <col min="9475" max="9476" width="5.7109375" style="296" customWidth="1"/>
    <col min="9477" max="9478" width="12.7109375" style="296" customWidth="1"/>
    <col min="9479" max="9728" width="9.140625" style="296"/>
    <col min="9729" max="9729" width="5.7109375" style="296" customWidth="1"/>
    <col min="9730" max="9730" width="46.7109375" style="296" customWidth="1"/>
    <col min="9731" max="9732" width="5.7109375" style="296" customWidth="1"/>
    <col min="9733" max="9734" width="12.7109375" style="296" customWidth="1"/>
    <col min="9735" max="9984" width="9.140625" style="296"/>
    <col min="9985" max="9985" width="5.7109375" style="296" customWidth="1"/>
    <col min="9986" max="9986" width="46.7109375" style="296" customWidth="1"/>
    <col min="9987" max="9988" width="5.7109375" style="296" customWidth="1"/>
    <col min="9989" max="9990" width="12.7109375" style="296" customWidth="1"/>
    <col min="9991" max="10240" width="9.140625" style="296"/>
    <col min="10241" max="10241" width="5.7109375" style="296" customWidth="1"/>
    <col min="10242" max="10242" width="46.7109375" style="296" customWidth="1"/>
    <col min="10243" max="10244" width="5.7109375" style="296" customWidth="1"/>
    <col min="10245" max="10246" width="12.7109375" style="296" customWidth="1"/>
    <col min="10247" max="10496" width="9.140625" style="296"/>
    <col min="10497" max="10497" width="5.7109375" style="296" customWidth="1"/>
    <col min="10498" max="10498" width="46.7109375" style="296" customWidth="1"/>
    <col min="10499" max="10500" width="5.7109375" style="296" customWidth="1"/>
    <col min="10501" max="10502" width="12.7109375" style="296" customWidth="1"/>
    <col min="10503" max="10752" width="9.140625" style="296"/>
    <col min="10753" max="10753" width="5.7109375" style="296" customWidth="1"/>
    <col min="10754" max="10754" width="46.7109375" style="296" customWidth="1"/>
    <col min="10755" max="10756" width="5.7109375" style="296" customWidth="1"/>
    <col min="10757" max="10758" width="12.7109375" style="296" customWidth="1"/>
    <col min="10759" max="11008" width="9.140625" style="296"/>
    <col min="11009" max="11009" width="5.7109375" style="296" customWidth="1"/>
    <col min="11010" max="11010" width="46.7109375" style="296" customWidth="1"/>
    <col min="11011" max="11012" width="5.7109375" style="296" customWidth="1"/>
    <col min="11013" max="11014" width="12.7109375" style="296" customWidth="1"/>
    <col min="11015" max="11264" width="9.140625" style="296"/>
    <col min="11265" max="11265" width="5.7109375" style="296" customWidth="1"/>
    <col min="11266" max="11266" width="46.7109375" style="296" customWidth="1"/>
    <col min="11267" max="11268" width="5.7109375" style="296" customWidth="1"/>
    <col min="11269" max="11270" width="12.7109375" style="296" customWidth="1"/>
    <col min="11271" max="11520" width="9.140625" style="296"/>
    <col min="11521" max="11521" width="5.7109375" style="296" customWidth="1"/>
    <col min="11522" max="11522" width="46.7109375" style="296" customWidth="1"/>
    <col min="11523" max="11524" width="5.7109375" style="296" customWidth="1"/>
    <col min="11525" max="11526" width="12.7109375" style="296" customWidth="1"/>
    <col min="11527" max="11776" width="9.140625" style="296"/>
    <col min="11777" max="11777" width="5.7109375" style="296" customWidth="1"/>
    <col min="11778" max="11778" width="46.7109375" style="296" customWidth="1"/>
    <col min="11779" max="11780" width="5.7109375" style="296" customWidth="1"/>
    <col min="11781" max="11782" width="12.7109375" style="296" customWidth="1"/>
    <col min="11783" max="12032" width="9.140625" style="296"/>
    <col min="12033" max="12033" width="5.7109375" style="296" customWidth="1"/>
    <col min="12034" max="12034" width="46.7109375" style="296" customWidth="1"/>
    <col min="12035" max="12036" width="5.7109375" style="296" customWidth="1"/>
    <col min="12037" max="12038" width="12.7109375" style="296" customWidth="1"/>
    <col min="12039" max="12288" width="9.140625" style="296"/>
    <col min="12289" max="12289" width="5.7109375" style="296" customWidth="1"/>
    <col min="12290" max="12290" width="46.7109375" style="296" customWidth="1"/>
    <col min="12291" max="12292" width="5.7109375" style="296" customWidth="1"/>
    <col min="12293" max="12294" width="12.7109375" style="296" customWidth="1"/>
    <col min="12295" max="12544" width="9.140625" style="296"/>
    <col min="12545" max="12545" width="5.7109375" style="296" customWidth="1"/>
    <col min="12546" max="12546" width="46.7109375" style="296" customWidth="1"/>
    <col min="12547" max="12548" width="5.7109375" style="296" customWidth="1"/>
    <col min="12549" max="12550" width="12.7109375" style="296" customWidth="1"/>
    <col min="12551" max="12800" width="9.140625" style="296"/>
    <col min="12801" max="12801" width="5.7109375" style="296" customWidth="1"/>
    <col min="12802" max="12802" width="46.7109375" style="296" customWidth="1"/>
    <col min="12803" max="12804" width="5.7109375" style="296" customWidth="1"/>
    <col min="12805" max="12806" width="12.7109375" style="296" customWidth="1"/>
    <col min="12807" max="13056" width="9.140625" style="296"/>
    <col min="13057" max="13057" width="5.7109375" style="296" customWidth="1"/>
    <col min="13058" max="13058" width="46.7109375" style="296" customWidth="1"/>
    <col min="13059" max="13060" width="5.7109375" style="296" customWidth="1"/>
    <col min="13061" max="13062" width="12.7109375" style="296" customWidth="1"/>
    <col min="13063" max="13312" width="9.140625" style="296"/>
    <col min="13313" max="13313" width="5.7109375" style="296" customWidth="1"/>
    <col min="13314" max="13314" width="46.7109375" style="296" customWidth="1"/>
    <col min="13315" max="13316" width="5.7109375" style="296" customWidth="1"/>
    <col min="13317" max="13318" width="12.7109375" style="296" customWidth="1"/>
    <col min="13319" max="13568" width="9.140625" style="296"/>
    <col min="13569" max="13569" width="5.7109375" style="296" customWidth="1"/>
    <col min="13570" max="13570" width="46.7109375" style="296" customWidth="1"/>
    <col min="13571" max="13572" width="5.7109375" style="296" customWidth="1"/>
    <col min="13573" max="13574" width="12.7109375" style="296" customWidth="1"/>
    <col min="13575" max="13824" width="9.140625" style="296"/>
    <col min="13825" max="13825" width="5.7109375" style="296" customWidth="1"/>
    <col min="13826" max="13826" width="46.7109375" style="296" customWidth="1"/>
    <col min="13827" max="13828" width="5.7109375" style="296" customWidth="1"/>
    <col min="13829" max="13830" width="12.7109375" style="296" customWidth="1"/>
    <col min="13831" max="14080" width="9.140625" style="296"/>
    <col min="14081" max="14081" width="5.7109375" style="296" customWidth="1"/>
    <col min="14082" max="14082" width="46.7109375" style="296" customWidth="1"/>
    <col min="14083" max="14084" width="5.7109375" style="296" customWidth="1"/>
    <col min="14085" max="14086" width="12.7109375" style="296" customWidth="1"/>
    <col min="14087" max="14336" width="9.140625" style="296"/>
    <col min="14337" max="14337" width="5.7109375" style="296" customWidth="1"/>
    <col min="14338" max="14338" width="46.7109375" style="296" customWidth="1"/>
    <col min="14339" max="14340" width="5.7109375" style="296" customWidth="1"/>
    <col min="14341" max="14342" width="12.7109375" style="296" customWidth="1"/>
    <col min="14343" max="14592" width="9.140625" style="296"/>
    <col min="14593" max="14593" width="5.7109375" style="296" customWidth="1"/>
    <col min="14594" max="14594" width="46.7109375" style="296" customWidth="1"/>
    <col min="14595" max="14596" width="5.7109375" style="296" customWidth="1"/>
    <col min="14597" max="14598" width="12.7109375" style="296" customWidth="1"/>
    <col min="14599" max="14848" width="9.140625" style="296"/>
    <col min="14849" max="14849" width="5.7109375" style="296" customWidth="1"/>
    <col min="14850" max="14850" width="46.7109375" style="296" customWidth="1"/>
    <col min="14851" max="14852" width="5.7109375" style="296" customWidth="1"/>
    <col min="14853" max="14854" width="12.7109375" style="296" customWidth="1"/>
    <col min="14855" max="15104" width="9.140625" style="296"/>
    <col min="15105" max="15105" width="5.7109375" style="296" customWidth="1"/>
    <col min="15106" max="15106" width="46.7109375" style="296" customWidth="1"/>
    <col min="15107" max="15108" width="5.7109375" style="296" customWidth="1"/>
    <col min="15109" max="15110" width="12.7109375" style="296" customWidth="1"/>
    <col min="15111" max="15360" width="9.140625" style="296"/>
    <col min="15361" max="15361" width="5.7109375" style="296" customWidth="1"/>
    <col min="15362" max="15362" width="46.7109375" style="296" customWidth="1"/>
    <col min="15363" max="15364" width="5.7109375" style="296" customWidth="1"/>
    <col min="15365" max="15366" width="12.7109375" style="296" customWidth="1"/>
    <col min="15367" max="15616" width="9.140625" style="296"/>
    <col min="15617" max="15617" width="5.7109375" style="296" customWidth="1"/>
    <col min="15618" max="15618" width="46.7109375" style="296" customWidth="1"/>
    <col min="15619" max="15620" width="5.7109375" style="296" customWidth="1"/>
    <col min="15621" max="15622" width="12.7109375" style="296" customWidth="1"/>
    <col min="15623" max="15872" width="9.140625" style="296"/>
    <col min="15873" max="15873" width="5.7109375" style="296" customWidth="1"/>
    <col min="15874" max="15874" width="46.7109375" style="296" customWidth="1"/>
    <col min="15875" max="15876" width="5.7109375" style="296" customWidth="1"/>
    <col min="15877" max="15878" width="12.7109375" style="296" customWidth="1"/>
    <col min="15879" max="16128" width="9.140625" style="296"/>
    <col min="16129" max="16129" width="5.7109375" style="296" customWidth="1"/>
    <col min="16130" max="16130" width="46.7109375" style="296" customWidth="1"/>
    <col min="16131" max="16132" width="5.7109375" style="296" customWidth="1"/>
    <col min="16133" max="16134" width="12.7109375" style="296" customWidth="1"/>
    <col min="16135" max="16384" width="9.140625" style="296"/>
  </cols>
  <sheetData>
    <row r="1" spans="1:7" ht="14.25">
      <c r="B1" s="373"/>
      <c r="E1" s="375"/>
      <c r="F1" s="375"/>
      <c r="G1" s="376"/>
    </row>
    <row r="2" spans="1:7" ht="15.75">
      <c r="A2" s="377"/>
      <c r="B2" s="447" t="s">
        <v>366</v>
      </c>
      <c r="E2" s="375"/>
      <c r="F2" s="375"/>
    </row>
    <row r="3" spans="1:7" ht="14.25">
      <c r="B3" s="373"/>
      <c r="E3" s="375"/>
      <c r="F3" s="375"/>
    </row>
    <row r="4" spans="1:7" s="378" customFormat="1" ht="16.5" customHeight="1">
      <c r="A4" s="414" t="s">
        <v>137</v>
      </c>
      <c r="B4" s="414" t="s">
        <v>138</v>
      </c>
      <c r="C4" s="414" t="s">
        <v>139</v>
      </c>
      <c r="D4" s="449" t="s">
        <v>342</v>
      </c>
      <c r="E4" s="415" t="s">
        <v>141</v>
      </c>
      <c r="F4" s="415" t="s">
        <v>142</v>
      </c>
    </row>
    <row r="5" spans="1:7" ht="14.25">
      <c r="B5" s="379"/>
      <c r="E5" s="380"/>
      <c r="F5" s="380"/>
    </row>
    <row r="6" spans="1:7" s="385" customFormat="1">
      <c r="A6" s="381" t="s">
        <v>143</v>
      </c>
      <c r="B6" s="382" t="s">
        <v>389</v>
      </c>
      <c r="C6" s="383"/>
      <c r="D6" s="395"/>
      <c r="E6" s="384" t="str">
        <f>IF(AND(ISNUMBER(#REF!),ISNUMBER(#REF!)),ROUND((#REF!*#REF!/(1-#REF!)+#REF!*#REF!*#REF!)*#REF!*#REF!*#REF!,0)," ")</f>
        <v xml:space="preserve"> </v>
      </c>
      <c r="F6" s="384" t="str">
        <f>IF(AND(ISNUMBER(C6),ISNUMBER(E6)),C6*E6," ")</f>
        <v xml:space="preserve"> </v>
      </c>
    </row>
    <row r="7" spans="1:7">
      <c r="A7" s="386"/>
      <c r="B7" s="374" t="s">
        <v>343</v>
      </c>
      <c r="C7" s="301"/>
      <c r="E7" s="384" t="str">
        <f>IF(AND(ISNUMBER(#REF!),ISNUMBER(#REF!)),ROUND((#REF!*#REF!/(1-#REF!)+#REF!*#REF!*#REF!)*#REF!*#REF!*#REF!,0)," ")</f>
        <v xml:space="preserve"> </v>
      </c>
      <c r="F7" s="384"/>
    </row>
    <row r="8" spans="1:7">
      <c r="A8" s="386"/>
      <c r="B8" s="374"/>
      <c r="C8" s="301"/>
      <c r="E8" s="384"/>
      <c r="F8" s="384"/>
    </row>
    <row r="9" spans="1:7" s="385" customFormat="1" ht="25.5">
      <c r="A9" s="294" t="s">
        <v>146</v>
      </c>
      <c r="B9" s="387" t="s">
        <v>390</v>
      </c>
      <c r="C9" s="296">
        <v>1</v>
      </c>
      <c r="D9" s="301" t="s">
        <v>6</v>
      </c>
      <c r="E9" s="527"/>
      <c r="F9" s="499" t="str">
        <f t="shared" ref="F9:F16" si="0">IF(AND(ISNUMBER(C9),ISNUMBER(E9)),C9*E9," ")</f>
        <v xml:space="preserve"> </v>
      </c>
    </row>
    <row r="10" spans="1:7" ht="15">
      <c r="A10" s="294" t="s">
        <v>146</v>
      </c>
      <c r="B10" s="307" t="s">
        <v>344</v>
      </c>
      <c r="C10" s="296">
        <v>1</v>
      </c>
      <c r="D10" s="301" t="s">
        <v>6</v>
      </c>
      <c r="E10" s="527"/>
      <c r="F10" s="499" t="str">
        <f t="shared" si="0"/>
        <v xml:space="preserve"> </v>
      </c>
    </row>
    <row r="11" spans="1:7" ht="51.75">
      <c r="A11" s="305" t="s">
        <v>146</v>
      </c>
      <c r="B11" s="297" t="s">
        <v>345</v>
      </c>
      <c r="C11" s="388">
        <v>1</v>
      </c>
      <c r="D11" s="442" t="s">
        <v>6</v>
      </c>
      <c r="E11" s="527"/>
      <c r="F11" s="499" t="str">
        <f t="shared" si="0"/>
        <v xml:space="preserve"> </v>
      </c>
    </row>
    <row r="12" spans="1:7" ht="63.75">
      <c r="A12" s="305" t="s">
        <v>146</v>
      </c>
      <c r="B12" s="387" t="s">
        <v>346</v>
      </c>
      <c r="C12" s="388">
        <v>4</v>
      </c>
      <c r="D12" s="442" t="s">
        <v>6</v>
      </c>
      <c r="E12" s="527"/>
      <c r="F12" s="499" t="str">
        <f t="shared" si="0"/>
        <v xml:space="preserve"> </v>
      </c>
    </row>
    <row r="13" spans="1:7" ht="25.5">
      <c r="A13" s="305" t="s">
        <v>146</v>
      </c>
      <c r="B13" s="389" t="s">
        <v>391</v>
      </c>
      <c r="C13" s="390">
        <v>8</v>
      </c>
      <c r="D13" s="443" t="s">
        <v>6</v>
      </c>
      <c r="E13" s="527"/>
      <c r="F13" s="499" t="str">
        <f t="shared" si="0"/>
        <v xml:space="preserve"> </v>
      </c>
    </row>
    <row r="14" spans="1:7" ht="25.5">
      <c r="A14" s="305" t="s">
        <v>146</v>
      </c>
      <c r="B14" s="389" t="s">
        <v>392</v>
      </c>
      <c r="C14" s="390">
        <v>4</v>
      </c>
      <c r="D14" s="443" t="s">
        <v>6</v>
      </c>
      <c r="E14" s="527"/>
      <c r="F14" s="499" t="str">
        <f>IF(AND(ISNUMBER(C14),ISNUMBER(E14)),C14*E14," ")</f>
        <v xml:space="preserve"> </v>
      </c>
    </row>
    <row r="15" spans="1:7" ht="15">
      <c r="A15" s="305" t="s">
        <v>146</v>
      </c>
      <c r="B15" s="389" t="s">
        <v>393</v>
      </c>
      <c r="C15" s="390">
        <v>1</v>
      </c>
      <c r="D15" s="443" t="s">
        <v>6</v>
      </c>
      <c r="E15" s="527"/>
      <c r="F15" s="499" t="str">
        <f t="shared" si="0"/>
        <v xml:space="preserve"> </v>
      </c>
    </row>
    <row r="16" spans="1:7" s="392" customFormat="1" ht="15">
      <c r="A16" s="391" t="s">
        <v>146</v>
      </c>
      <c r="B16" s="392" t="s">
        <v>347</v>
      </c>
      <c r="C16" s="393">
        <v>1</v>
      </c>
      <c r="D16" s="341" t="s">
        <v>187</v>
      </c>
      <c r="E16" s="528"/>
      <c r="F16" s="499" t="str">
        <f t="shared" si="0"/>
        <v xml:space="preserve"> </v>
      </c>
    </row>
    <row r="17" spans="1:6" s="392" customFormat="1">
      <c r="A17" s="391"/>
      <c r="C17" s="393"/>
      <c r="D17" s="341"/>
      <c r="E17" s="500"/>
      <c r="F17" s="501"/>
    </row>
    <row r="18" spans="1:6" s="385" customFormat="1">
      <c r="A18" s="394"/>
      <c r="B18" s="395" t="s">
        <v>348</v>
      </c>
      <c r="C18" s="395"/>
      <c r="D18" s="395"/>
      <c r="E18" s="501"/>
      <c r="F18" s="502">
        <f>SUM(F9:F17)</f>
        <v>0</v>
      </c>
    </row>
    <row r="19" spans="1:6" s="385" customFormat="1">
      <c r="A19" s="394"/>
      <c r="B19" s="395"/>
      <c r="C19" s="395"/>
      <c r="D19" s="395"/>
      <c r="E19" s="501"/>
      <c r="F19" s="502"/>
    </row>
    <row r="20" spans="1:6" s="385" customFormat="1">
      <c r="A20" s="383"/>
      <c r="B20" s="395"/>
      <c r="C20" s="395"/>
      <c r="D20" s="395"/>
      <c r="E20" s="501"/>
      <c r="F20" s="502"/>
    </row>
    <row r="21" spans="1:6" s="385" customFormat="1">
      <c r="A21" s="383" t="s">
        <v>201</v>
      </c>
      <c r="B21" s="385" t="s">
        <v>349</v>
      </c>
      <c r="C21" s="395"/>
      <c r="D21" s="395"/>
      <c r="E21" s="501"/>
      <c r="F21" s="501"/>
    </row>
    <row r="22" spans="1:6">
      <c r="A22" s="386"/>
      <c r="B22" s="374" t="s">
        <v>145</v>
      </c>
      <c r="C22" s="301"/>
      <c r="E22" s="501"/>
      <c r="F22" s="501"/>
    </row>
    <row r="23" spans="1:6">
      <c r="C23" s="301"/>
      <c r="E23" s="501"/>
      <c r="F23" s="501"/>
    </row>
    <row r="24" spans="1:6" ht="39">
      <c r="A24" s="386" t="s">
        <v>146</v>
      </c>
      <c r="B24" s="296" t="s">
        <v>394</v>
      </c>
      <c r="C24" s="296">
        <v>1</v>
      </c>
      <c r="D24" s="301" t="s">
        <v>187</v>
      </c>
      <c r="E24" s="527"/>
      <c r="F24" s="499" t="str">
        <f>IF(AND(ISNUMBER(C24),ISNUMBER(E24)),C24*E24," ")</f>
        <v xml:space="preserve"> </v>
      </c>
    </row>
    <row r="25" spans="1:6" ht="25.5">
      <c r="A25" s="386" t="s">
        <v>146</v>
      </c>
      <c r="B25" s="396" t="s">
        <v>395</v>
      </c>
      <c r="C25" s="296">
        <v>1</v>
      </c>
      <c r="D25" s="397" t="s">
        <v>187</v>
      </c>
      <c r="E25" s="527"/>
      <c r="F25" s="499" t="str">
        <f>IF(AND(ISNUMBER(C25),ISNUMBER(E25)),C25*E25," ")</f>
        <v xml:space="preserve"> </v>
      </c>
    </row>
    <row r="26" spans="1:6" s="376" customFormat="1">
      <c r="A26" s="386"/>
      <c r="C26" s="397"/>
      <c r="D26" s="397"/>
      <c r="E26" s="500"/>
      <c r="F26" s="500"/>
    </row>
    <row r="27" spans="1:6" s="385" customFormat="1">
      <c r="A27" s="383"/>
      <c r="B27" s="395" t="s">
        <v>350</v>
      </c>
      <c r="C27" s="395"/>
      <c r="D27" s="395"/>
      <c r="E27" s="529"/>
      <c r="F27" s="502">
        <f>SUM(F24:F26)</f>
        <v>0</v>
      </c>
    </row>
    <row r="28" spans="1:6" s="385" customFormat="1">
      <c r="A28" s="383"/>
      <c r="B28" s="395"/>
      <c r="C28" s="395"/>
      <c r="D28" s="395"/>
      <c r="E28" s="501"/>
      <c r="F28" s="502"/>
    </row>
    <row r="29" spans="1:6" s="385" customFormat="1">
      <c r="A29" s="383"/>
      <c r="D29" s="395"/>
      <c r="E29" s="500"/>
      <c r="F29" s="500"/>
    </row>
    <row r="30" spans="1:6" ht="15.75">
      <c r="B30" s="398" t="s">
        <v>13</v>
      </c>
      <c r="E30" s="501"/>
      <c r="F30" s="501"/>
    </row>
    <row r="31" spans="1:6" ht="15.75">
      <c r="B31" s="398"/>
      <c r="E31" s="501"/>
      <c r="F31" s="501"/>
    </row>
    <row r="32" spans="1:6">
      <c r="A32" s="394" t="s">
        <v>143</v>
      </c>
      <c r="B32" s="385" t="s">
        <v>144</v>
      </c>
      <c r="C32" s="385">
        <v>1</v>
      </c>
      <c r="D32" s="395" t="s">
        <v>187</v>
      </c>
      <c r="E32" s="530"/>
      <c r="F32" s="502">
        <f>F18</f>
        <v>0</v>
      </c>
    </row>
    <row r="33" spans="1:6">
      <c r="A33" s="394" t="s">
        <v>201</v>
      </c>
      <c r="B33" s="385" t="s">
        <v>349</v>
      </c>
      <c r="C33" s="385">
        <v>1</v>
      </c>
      <c r="D33" s="395" t="s">
        <v>187</v>
      </c>
      <c r="E33" s="530"/>
      <c r="F33" s="502">
        <f>F27</f>
        <v>0</v>
      </c>
    </row>
    <row r="34" spans="1:6">
      <c r="A34" s="394" t="s">
        <v>209</v>
      </c>
      <c r="B34" s="385" t="s">
        <v>251</v>
      </c>
      <c r="C34" s="385">
        <v>1</v>
      </c>
      <c r="D34" s="395" t="s">
        <v>187</v>
      </c>
      <c r="E34" s="531"/>
      <c r="F34" s="503" t="str">
        <f>IF(AND(ISNUMBER(C34),ISNUMBER(E34)),C34*E34," ")</f>
        <v xml:space="preserve"> </v>
      </c>
    </row>
    <row r="35" spans="1:6">
      <c r="A35" s="394" t="s">
        <v>235</v>
      </c>
      <c r="B35" s="385" t="s">
        <v>351</v>
      </c>
      <c r="C35" s="385">
        <v>1</v>
      </c>
      <c r="D35" s="395" t="s">
        <v>187</v>
      </c>
      <c r="E35" s="531"/>
      <c r="F35" s="503" t="str">
        <f>IF(AND(ISNUMBER(C35),ISNUMBER(E35)),C35*E35," ")</f>
        <v xml:space="preserve"> </v>
      </c>
    </row>
    <row r="36" spans="1:6" ht="38.25">
      <c r="A36" s="394" t="s">
        <v>243</v>
      </c>
      <c r="B36" s="385" t="s">
        <v>255</v>
      </c>
      <c r="C36" s="385">
        <v>1</v>
      </c>
      <c r="D36" s="395" t="s">
        <v>187</v>
      </c>
      <c r="E36" s="531"/>
      <c r="F36" s="503" t="str">
        <f>IF(AND(ISNUMBER(C36),ISNUMBER(E36)),C36*E36," ")</f>
        <v xml:space="preserve"> </v>
      </c>
    </row>
    <row r="37" spans="1:6" ht="25.5">
      <c r="A37" s="394" t="s">
        <v>250</v>
      </c>
      <c r="B37" s="385" t="s">
        <v>352</v>
      </c>
      <c r="C37" s="385">
        <v>1</v>
      </c>
      <c r="D37" s="395" t="s">
        <v>187</v>
      </c>
      <c r="E37" s="531"/>
      <c r="F37" s="503" t="str">
        <f t="shared" ref="F37:F42" si="1">IF(AND(ISNUMBER(C37),ISNUMBER(E37)),C37*E37," ")</f>
        <v xml:space="preserve"> </v>
      </c>
    </row>
    <row r="38" spans="1:6" ht="38.25">
      <c r="A38" s="394" t="s">
        <v>252</v>
      </c>
      <c r="B38" s="385" t="s">
        <v>353</v>
      </c>
      <c r="C38" s="385">
        <v>1</v>
      </c>
      <c r="D38" s="395" t="s">
        <v>187</v>
      </c>
      <c r="E38" s="531"/>
      <c r="F38" s="503" t="str">
        <f t="shared" si="1"/>
        <v xml:space="preserve"> </v>
      </c>
    </row>
    <row r="39" spans="1:6" ht="51">
      <c r="A39" s="394" t="s">
        <v>254</v>
      </c>
      <c r="B39" s="385" t="s">
        <v>354</v>
      </c>
      <c r="C39" s="385">
        <v>1</v>
      </c>
      <c r="D39" s="395" t="s">
        <v>187</v>
      </c>
      <c r="E39" s="531"/>
      <c r="F39" s="503" t="str">
        <f t="shared" si="1"/>
        <v xml:space="preserve"> </v>
      </c>
    </row>
    <row r="40" spans="1:6" ht="89.25">
      <c r="A40" s="394" t="s">
        <v>256</v>
      </c>
      <c r="B40" s="399" t="s">
        <v>355</v>
      </c>
      <c r="C40" s="400">
        <v>1</v>
      </c>
      <c r="D40" s="444" t="s">
        <v>187</v>
      </c>
      <c r="E40" s="531"/>
      <c r="F40" s="503" t="str">
        <f t="shared" si="1"/>
        <v xml:space="preserve"> </v>
      </c>
    </row>
    <row r="41" spans="1:6">
      <c r="A41" s="394" t="s">
        <v>258</v>
      </c>
      <c r="B41" s="385" t="s">
        <v>356</v>
      </c>
      <c r="C41" s="400">
        <v>1</v>
      </c>
      <c r="D41" s="444" t="s">
        <v>187</v>
      </c>
      <c r="E41" s="531"/>
      <c r="F41" s="503" t="str">
        <f t="shared" si="1"/>
        <v xml:space="preserve"> </v>
      </c>
    </row>
    <row r="42" spans="1:6">
      <c r="A42" s="394" t="s">
        <v>260</v>
      </c>
      <c r="B42" s="385" t="s">
        <v>357</v>
      </c>
      <c r="C42" s="400">
        <v>1</v>
      </c>
      <c r="D42" s="444" t="s">
        <v>187</v>
      </c>
      <c r="E42" s="531"/>
      <c r="F42" s="503" t="str">
        <f t="shared" si="1"/>
        <v xml:space="preserve"> </v>
      </c>
    </row>
    <row r="43" spans="1:6">
      <c r="A43" s="401"/>
      <c r="B43" s="402"/>
      <c r="C43" s="441"/>
      <c r="D43" s="445"/>
      <c r="E43" s="532"/>
      <c r="F43" s="504"/>
    </row>
    <row r="44" spans="1:6" s="403" customFormat="1">
      <c r="A44" s="413"/>
      <c r="B44" s="412" t="s">
        <v>397</v>
      </c>
      <c r="C44" s="412"/>
      <c r="D44" s="448"/>
      <c r="E44" s="533" t="s">
        <v>262</v>
      </c>
      <c r="F44" s="505">
        <f>SUM(F32:F43)</f>
        <v>0</v>
      </c>
    </row>
    <row r="45" spans="1:6">
      <c r="B45" s="379"/>
    </row>
    <row r="46" spans="1:6" s="323" customFormat="1" ht="14.25">
      <c r="A46" s="404"/>
      <c r="B46" s="405"/>
      <c r="C46" s="406"/>
      <c r="D46" s="344"/>
      <c r="E46" s="407"/>
      <c r="F46" s="407"/>
    </row>
  </sheetData>
  <sheetProtection algorithmName="SHA-512" hashValue="Gy60N5RYCnxvMOIexHZZe/0J7L78zHAwtYgjc80VSKBvDPpmYJ5+ue5NzdR+6ci6lOfPaTM8O3nNxNKYIiM7Lg==" saltValue="HngqcaHtPWx45E/KdCiB5g==" spinCount="100000" sheet="1" objects="1" scenarios="1"/>
  <conditionalFormatting sqref="E6:E8">
    <cfRule type="cellIs" dxfId="0" priority="1" stopIfTrue="1" operator="equal">
      <formula>F6</formula>
    </cfRule>
  </conditionalFormatting>
  <pageMargins left="0.70866141732283472" right="0.70866141732283472" top="0.74803149606299213" bottom="0.74803149606299213" header="0.31496062992125984" footer="0.31496062992125984"/>
  <pageSetup paperSize="9" orientation="portrait" r:id="rId1"/>
  <headerFooter>
    <oddHeader>&amp;LSAVINJAPROJEKT d.o.o.&amp;RŠt. projekta: 68/2018</oddHeader>
    <oddFooter>&amp;C&amp;P</oddFooter>
  </headerFooter>
  <rowBreaks count="1" manualBreakCount="1">
    <brk id="2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7"/>
  <sheetViews>
    <sheetView view="pageBreakPreview" zoomScaleNormal="100" zoomScaleSheetLayoutView="100" workbookViewId="0">
      <selection activeCell="E3" sqref="E3:E6"/>
    </sheetView>
  </sheetViews>
  <sheetFormatPr defaultRowHeight="14.25"/>
  <cols>
    <col min="1" max="1" width="4.85546875" style="126" bestFit="1" customWidth="1"/>
    <col min="2" max="2" width="45.42578125" style="91" customWidth="1"/>
    <col min="3" max="3" width="6.5703125" style="92" bestFit="1" customWidth="1"/>
    <col min="4" max="4" width="8.5703125" style="93" customWidth="1"/>
    <col min="5" max="5" width="10.7109375" style="113" customWidth="1"/>
    <col min="6" max="6" width="12.28515625" style="113" customWidth="1"/>
    <col min="7" max="7" width="9.140625" style="40"/>
    <col min="8" max="16384" width="9.140625" style="37"/>
  </cols>
  <sheetData>
    <row r="1" spans="1:6" ht="26.25" thickBot="1">
      <c r="A1" s="116" t="s">
        <v>0</v>
      </c>
      <c r="B1" s="38" t="s">
        <v>1</v>
      </c>
      <c r="C1" s="38" t="s">
        <v>2</v>
      </c>
      <c r="D1" s="39" t="s">
        <v>3</v>
      </c>
      <c r="E1" s="206" t="s">
        <v>4</v>
      </c>
      <c r="F1" s="94" t="s">
        <v>5</v>
      </c>
    </row>
    <row r="2" spans="1:6" ht="28.5" customHeight="1" thickBot="1">
      <c r="A2" s="121"/>
      <c r="B2" s="213" t="s">
        <v>368</v>
      </c>
      <c r="C2" s="214"/>
      <c r="D2" s="215"/>
      <c r="E2" s="216"/>
      <c r="F2" s="217"/>
    </row>
    <row r="3" spans="1:6" ht="32.25" customHeight="1">
      <c r="A3" s="119">
        <v>1</v>
      </c>
      <c r="B3" s="48" t="s">
        <v>41</v>
      </c>
      <c r="C3" s="49" t="s">
        <v>16</v>
      </c>
      <c r="D3" s="50">
        <v>24</v>
      </c>
      <c r="E3" s="534"/>
      <c r="F3" s="51">
        <f t="shared" ref="F3:F6" si="0">D3*E3</f>
        <v>0</v>
      </c>
    </row>
    <row r="4" spans="1:6" ht="36" customHeight="1">
      <c r="A4" s="123">
        <v>2</v>
      </c>
      <c r="B4" s="48" t="s">
        <v>90</v>
      </c>
      <c r="C4" s="49" t="s">
        <v>32</v>
      </c>
      <c r="D4" s="50">
        <v>30</v>
      </c>
      <c r="E4" s="512"/>
      <c r="F4" s="51">
        <f t="shared" si="0"/>
        <v>0</v>
      </c>
    </row>
    <row r="5" spans="1:6" ht="111.75" customHeight="1">
      <c r="A5" s="119" t="s">
        <v>56</v>
      </c>
      <c r="B5" s="157" t="s">
        <v>51</v>
      </c>
      <c r="C5" s="49" t="s">
        <v>9</v>
      </c>
      <c r="D5" s="253">
        <f>325+25+720+75+60</f>
        <v>1205</v>
      </c>
      <c r="E5" s="507"/>
      <c r="F5" s="51">
        <f t="shared" si="0"/>
        <v>0</v>
      </c>
    </row>
    <row r="6" spans="1:6" ht="48" customHeight="1" thickBot="1">
      <c r="A6" s="123" t="s">
        <v>57</v>
      </c>
      <c r="B6" s="52" t="s">
        <v>472</v>
      </c>
      <c r="C6" s="49" t="s">
        <v>7</v>
      </c>
      <c r="D6" s="50">
        <v>1</v>
      </c>
      <c r="E6" s="507"/>
      <c r="F6" s="51">
        <f t="shared" si="0"/>
        <v>0</v>
      </c>
    </row>
    <row r="7" spans="1:6" ht="30" customHeight="1" thickBot="1">
      <c r="A7" s="218" t="s">
        <v>369</v>
      </c>
      <c r="B7" s="219" t="s">
        <v>10</v>
      </c>
      <c r="C7" s="220"/>
      <c r="D7" s="221"/>
      <c r="E7" s="222"/>
      <c r="F7" s="223">
        <f>SUM(F3:F6)</f>
        <v>0</v>
      </c>
    </row>
  </sheetData>
  <sheetProtection algorithmName="SHA-512" hashValue="yt2WhK8y50z/VrHIVjDdNuO3k/LQF+27iUcSemmlF17BcvijbKX4so7g/cw/3ddhQVP3iEswmU4DGQg7MdLB8Q==" saltValue="QcaOp1V/7rmYmVlIhOHt0w==" spinCount="100000" sheet="1" objects="1" scenarios="1"/>
  <pageMargins left="0.70866141732283472" right="0.70866141732283472" top="0.74803149606299213" bottom="0.74803149606299213" header="0.31496062992125984" footer="0.31496062992125984"/>
  <pageSetup paperSize="9" orientation="portrait" r:id="rId1"/>
  <headerFooter>
    <oddHeader>&amp;LSAVINJAPROJEKT d.o.o.&amp;RŠt. projekta: 68/2018</oddHeader>
    <oddFooter>&amp;C&amp;P</oddFooter>
  </headerFooter>
  <ignoredErrors>
    <ignoredError sqref="A5:A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
  <sheetViews>
    <sheetView zoomScaleNormal="100" workbookViewId="0">
      <selection activeCell="E3" sqref="E3:E6"/>
    </sheetView>
  </sheetViews>
  <sheetFormatPr defaultRowHeight="14.25"/>
  <cols>
    <col min="1" max="1" width="4.85546875" style="126" bestFit="1" customWidth="1"/>
    <col min="2" max="2" width="45.42578125" style="91" customWidth="1"/>
    <col min="3" max="3" width="6.5703125" style="92" bestFit="1" customWidth="1"/>
    <col min="4" max="4" width="8.42578125" style="93" customWidth="1"/>
    <col min="5" max="5" width="10.7109375" style="113" customWidth="1"/>
    <col min="6" max="6" width="12.42578125" style="113" customWidth="1"/>
    <col min="7" max="7" width="9.140625" style="40"/>
    <col min="8" max="16384" width="9.140625" style="37"/>
  </cols>
  <sheetData>
    <row r="1" spans="1:6" ht="26.25" thickBot="1">
      <c r="A1" s="116" t="s">
        <v>0</v>
      </c>
      <c r="B1" s="38" t="s">
        <v>1</v>
      </c>
      <c r="C1" s="38" t="s">
        <v>2</v>
      </c>
      <c r="D1" s="39" t="s">
        <v>3</v>
      </c>
      <c r="E1" s="206" t="s">
        <v>4</v>
      </c>
      <c r="F1" s="94" t="s">
        <v>5</v>
      </c>
    </row>
    <row r="2" spans="1:6" ht="22.5" customHeight="1" thickBot="1">
      <c r="A2" s="117"/>
      <c r="B2" s="207" t="s">
        <v>461</v>
      </c>
      <c r="C2" s="208"/>
      <c r="D2" s="209"/>
      <c r="E2" s="210"/>
      <c r="F2" s="211"/>
    </row>
    <row r="3" spans="1:6" ht="140.25">
      <c r="A3" s="118">
        <v>1</v>
      </c>
      <c r="B3" s="44" t="s">
        <v>462</v>
      </c>
      <c r="C3" s="45" t="s">
        <v>7</v>
      </c>
      <c r="D3" s="46">
        <v>1</v>
      </c>
      <c r="E3" s="506"/>
      <c r="F3" s="47">
        <f>D3*E3</f>
        <v>0</v>
      </c>
    </row>
    <row r="4" spans="1:6" ht="114.75">
      <c r="A4" s="119">
        <v>2</v>
      </c>
      <c r="B4" s="48" t="s">
        <v>463</v>
      </c>
      <c r="C4" s="49" t="s">
        <v>7</v>
      </c>
      <c r="D4" s="50">
        <v>1</v>
      </c>
      <c r="E4" s="507"/>
      <c r="F4" s="51">
        <f t="shared" ref="F4:F6" si="0">D4*E4</f>
        <v>0</v>
      </c>
    </row>
    <row r="5" spans="1:6" ht="76.5">
      <c r="A5" s="118">
        <v>3</v>
      </c>
      <c r="B5" s="48" t="s">
        <v>464</v>
      </c>
      <c r="C5" s="49" t="s">
        <v>7</v>
      </c>
      <c r="D5" s="50">
        <v>1</v>
      </c>
      <c r="E5" s="507"/>
      <c r="F5" s="51">
        <f t="shared" si="0"/>
        <v>0</v>
      </c>
    </row>
    <row r="6" spans="1:6" ht="40.5" customHeight="1" thickBot="1">
      <c r="A6" s="119">
        <v>4</v>
      </c>
      <c r="B6" s="48" t="s">
        <v>81</v>
      </c>
      <c r="C6" s="49" t="s">
        <v>6</v>
      </c>
      <c r="D6" s="50">
        <v>5</v>
      </c>
      <c r="E6" s="508"/>
      <c r="F6" s="190">
        <f t="shared" si="0"/>
        <v>0</v>
      </c>
    </row>
    <row r="7" spans="1:6" ht="24.75" customHeight="1" thickBot="1">
      <c r="A7" s="212" t="s">
        <v>34</v>
      </c>
      <c r="B7" s="207" t="s">
        <v>460</v>
      </c>
      <c r="C7" s="208"/>
      <c r="D7" s="209"/>
      <c r="E7" s="210"/>
      <c r="F7" s="211">
        <f>SUM(F3:F6)</f>
        <v>0</v>
      </c>
    </row>
  </sheetData>
  <sheetProtection algorithmName="SHA-512" hashValue="6++B9CaiRx3JuogdSoAroiSP7quWPPuUrf8kKw8YjwI8x6wM+W/maaWRamIB+79h6sTwXdfGXUN0X/F7m4Gv8Q==" saltValue="MpC7UZp14aF4ARZghO5YJw==" spinCount="100000" sheet="1" objects="1" scenarios="1"/>
  <pageMargins left="0.70866141732283472" right="0.70866141732283472" top="0.74803149606299213" bottom="0.74803149606299213" header="0.31496062992125984" footer="0.31496062992125984"/>
  <pageSetup paperSize="9" orientation="portrait" r:id="rId1"/>
  <headerFooter>
    <oddHeader>&amp;LSAVINJAPROJEKT d.o.o.&amp;RŠt. projekta: 68/2018</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S85"/>
  <sheetViews>
    <sheetView view="pageBreakPreview" topLeftCell="A66" zoomScale="85" zoomScaleNormal="100" zoomScaleSheetLayoutView="85" workbookViewId="0">
      <selection activeCell="E71" activeCellId="9" sqref="E5:E13 E20:E22 E24 E25 E27:E29 E30:E45 E50:E52 E54:E55 E60:E66 E71:E82"/>
    </sheetView>
  </sheetViews>
  <sheetFormatPr defaultRowHeight="14.25"/>
  <cols>
    <col min="1" max="1" width="4.85546875" style="126" bestFit="1" customWidth="1"/>
    <col min="2" max="2" width="45.42578125" style="91" customWidth="1"/>
    <col min="3" max="3" width="6.5703125" style="92" bestFit="1" customWidth="1"/>
    <col min="4" max="4" width="8.7109375" style="93" customWidth="1"/>
    <col min="5" max="5" width="10.7109375" style="113" customWidth="1"/>
    <col min="6" max="6" width="12.7109375" style="113" customWidth="1"/>
    <col min="7" max="7" width="9.140625" style="40"/>
    <col min="8" max="16384" width="9.140625" style="37"/>
  </cols>
  <sheetData>
    <row r="1" spans="1:6" s="238" customFormat="1" ht="18">
      <c r="A1" s="250" t="s">
        <v>117</v>
      </c>
      <c r="B1" s="234" t="s">
        <v>431</v>
      </c>
      <c r="C1" s="235"/>
      <c r="D1" s="236"/>
      <c r="E1" s="237"/>
      <c r="F1" s="237"/>
    </row>
    <row r="2" spans="1:6" ht="15" thickBot="1"/>
    <row r="3" spans="1:6" ht="26.25" thickBot="1">
      <c r="A3" s="116" t="s">
        <v>0</v>
      </c>
      <c r="B3" s="38" t="s">
        <v>1</v>
      </c>
      <c r="C3" s="38" t="s">
        <v>2</v>
      </c>
      <c r="D3" s="39" t="s">
        <v>3</v>
      </c>
      <c r="E3" s="206" t="s">
        <v>4</v>
      </c>
      <c r="F3" s="94" t="s">
        <v>5</v>
      </c>
    </row>
    <row r="4" spans="1:6" ht="15" thickBot="1">
      <c r="A4" s="117"/>
      <c r="B4" s="41" t="s">
        <v>33</v>
      </c>
      <c r="C4" s="42"/>
      <c r="D4" s="43"/>
      <c r="E4" s="95"/>
      <c r="F4" s="96"/>
    </row>
    <row r="5" spans="1:6" ht="25.5">
      <c r="A5" s="232">
        <v>1</v>
      </c>
      <c r="B5" s="48" t="s">
        <v>46</v>
      </c>
      <c r="C5" s="49" t="s">
        <v>9</v>
      </c>
      <c r="D5" s="50">
        <v>325</v>
      </c>
      <c r="E5" s="507"/>
      <c r="F5" s="51">
        <f t="shared" ref="F5:F12" si="0">D5*E5</f>
        <v>0</v>
      </c>
    </row>
    <row r="6" spans="1:6" ht="25.5">
      <c r="A6" s="119" t="s">
        <v>55</v>
      </c>
      <c r="B6" s="52" t="s">
        <v>28</v>
      </c>
      <c r="C6" s="49" t="s">
        <v>6</v>
      </c>
      <c r="D6" s="50">
        <f>20+1+11</f>
        <v>32</v>
      </c>
      <c r="E6" s="507"/>
      <c r="F6" s="51">
        <f t="shared" si="0"/>
        <v>0</v>
      </c>
    </row>
    <row r="7" spans="1:6" ht="38.25">
      <c r="A7" s="118" t="s">
        <v>56</v>
      </c>
      <c r="B7" s="48" t="s">
        <v>82</v>
      </c>
      <c r="C7" s="53" t="s">
        <v>47</v>
      </c>
      <c r="D7" s="50">
        <v>5</v>
      </c>
      <c r="E7" s="507"/>
      <c r="F7" s="51">
        <f t="shared" ref="F7" si="1">D7*E7</f>
        <v>0</v>
      </c>
    </row>
    <row r="8" spans="1:6" ht="38.25">
      <c r="A8" s="119" t="s">
        <v>57</v>
      </c>
      <c r="B8" s="54" t="s">
        <v>111</v>
      </c>
      <c r="C8" s="49" t="s">
        <v>9</v>
      </c>
      <c r="D8" s="50">
        <f>3+10+12+5+4</f>
        <v>34</v>
      </c>
      <c r="E8" s="507"/>
      <c r="F8" s="51">
        <f t="shared" si="0"/>
        <v>0</v>
      </c>
    </row>
    <row r="9" spans="1:6" ht="38.25">
      <c r="A9" s="118" t="s">
        <v>58</v>
      </c>
      <c r="B9" s="48" t="s">
        <v>53</v>
      </c>
      <c r="C9" s="55" t="s">
        <v>48</v>
      </c>
      <c r="D9" s="50">
        <v>805</v>
      </c>
      <c r="E9" s="507"/>
      <c r="F9" s="51">
        <f t="shared" si="0"/>
        <v>0</v>
      </c>
    </row>
    <row r="10" spans="1:6" ht="51">
      <c r="A10" s="450">
        <v>6</v>
      </c>
      <c r="B10" s="248" t="s">
        <v>401</v>
      </c>
      <c r="C10" s="55" t="s">
        <v>48</v>
      </c>
      <c r="D10" s="185">
        <v>2</v>
      </c>
      <c r="E10" s="509"/>
      <c r="F10" s="451">
        <f t="shared" si="0"/>
        <v>0</v>
      </c>
    </row>
    <row r="11" spans="1:6" ht="38.25">
      <c r="A11" s="119" t="s">
        <v>60</v>
      </c>
      <c r="B11" s="230" t="s">
        <v>402</v>
      </c>
      <c r="C11" s="55" t="s">
        <v>48</v>
      </c>
      <c r="D11" s="452">
        <f>1</f>
        <v>1</v>
      </c>
      <c r="E11" s="507"/>
      <c r="F11" s="51">
        <f t="shared" si="0"/>
        <v>0</v>
      </c>
    </row>
    <row r="12" spans="1:6" ht="38.25">
      <c r="A12" s="118" t="s">
        <v>61</v>
      </c>
      <c r="B12" s="248" t="s">
        <v>433</v>
      </c>
      <c r="C12" s="184" t="s">
        <v>9</v>
      </c>
      <c r="D12" s="185">
        <v>2</v>
      </c>
      <c r="E12" s="509"/>
      <c r="F12" s="451">
        <f t="shared" si="0"/>
        <v>0</v>
      </c>
    </row>
    <row r="13" spans="1:6" ht="38.25">
      <c r="A13" s="119" t="s">
        <v>62</v>
      </c>
      <c r="B13" s="230" t="s">
        <v>434</v>
      </c>
      <c r="C13" s="55" t="s">
        <v>104</v>
      </c>
      <c r="D13" s="452">
        <v>40</v>
      </c>
      <c r="E13" s="507"/>
      <c r="F13" s="51">
        <f t="shared" ref="F13" si="2">D13*E13</f>
        <v>0</v>
      </c>
    </row>
    <row r="14" spans="1:6" ht="15" thickBot="1">
      <c r="A14" s="122"/>
      <c r="B14" s="459"/>
      <c r="C14" s="460"/>
      <c r="D14" s="461"/>
      <c r="E14" s="462"/>
      <c r="F14" s="463"/>
    </row>
    <row r="15" spans="1:6" ht="15" thickBot="1">
      <c r="A15" s="155" t="s">
        <v>34</v>
      </c>
      <c r="B15" s="58" t="s">
        <v>12</v>
      </c>
      <c r="C15" s="59"/>
      <c r="D15" s="60"/>
      <c r="E15" s="98"/>
      <c r="F15" s="156">
        <f>SUM(F5:F13)</f>
        <v>0</v>
      </c>
    </row>
    <row r="16" spans="1:6" ht="15" thickBot="1">
      <c r="A16" s="120"/>
      <c r="B16" s="61"/>
      <c r="C16" s="62"/>
      <c r="D16" s="63"/>
      <c r="E16" s="99"/>
      <c r="F16" s="100"/>
    </row>
    <row r="17" spans="1:6" ht="15" thickBot="1">
      <c r="A17" s="121"/>
      <c r="B17" s="64" t="s">
        <v>35</v>
      </c>
      <c r="C17" s="65"/>
      <c r="D17" s="66"/>
      <c r="E17" s="101"/>
      <c r="F17" s="102"/>
    </row>
    <row r="18" spans="1:6" ht="63.75">
      <c r="A18" s="122"/>
      <c r="B18" s="67" t="s">
        <v>52</v>
      </c>
      <c r="C18" s="68"/>
      <c r="D18" s="69"/>
      <c r="E18" s="103"/>
      <c r="F18" s="104"/>
    </row>
    <row r="19" spans="1:6" ht="38.25">
      <c r="A19" s="118"/>
      <c r="B19" s="70" t="s">
        <v>25</v>
      </c>
      <c r="C19" s="49"/>
      <c r="D19" s="50"/>
      <c r="E19" s="56"/>
      <c r="F19" s="51"/>
    </row>
    <row r="20" spans="1:6" ht="38.25">
      <c r="A20" s="119" t="s">
        <v>54</v>
      </c>
      <c r="B20" s="48" t="s">
        <v>72</v>
      </c>
      <c r="C20" s="53" t="s">
        <v>47</v>
      </c>
      <c r="D20" s="50">
        <f>63*3*0.2</f>
        <v>37.800000000000004</v>
      </c>
      <c r="E20" s="507"/>
      <c r="F20" s="51">
        <f>D20*E20</f>
        <v>0</v>
      </c>
    </row>
    <row r="21" spans="1:6" ht="25.5">
      <c r="A21" s="119" t="s">
        <v>55</v>
      </c>
      <c r="B21" s="183" t="s">
        <v>97</v>
      </c>
      <c r="C21" s="53" t="s">
        <v>47</v>
      </c>
      <c r="D21" s="50">
        <f>(1030+22)*0.3</f>
        <v>315.59999999999997</v>
      </c>
      <c r="E21" s="507"/>
      <c r="F21" s="51">
        <f>D21*E21</f>
        <v>0</v>
      </c>
    </row>
    <row r="22" spans="1:6">
      <c r="A22" s="119" t="s">
        <v>56</v>
      </c>
      <c r="B22" s="48" t="s">
        <v>43</v>
      </c>
      <c r="C22" s="53" t="s">
        <v>47</v>
      </c>
      <c r="D22" s="50">
        <v>10</v>
      </c>
      <c r="E22" s="507"/>
      <c r="F22" s="51">
        <f>D22*E22</f>
        <v>0</v>
      </c>
    </row>
    <row r="23" spans="1:6" ht="38.25">
      <c r="A23" s="167" t="s">
        <v>57</v>
      </c>
      <c r="B23" s="191" t="s">
        <v>77</v>
      </c>
      <c r="C23" s="192"/>
      <c r="D23" s="193"/>
      <c r="E23" s="194"/>
      <c r="F23" s="195"/>
    </row>
    <row r="24" spans="1:6">
      <c r="A24" s="200"/>
      <c r="B24" s="201" t="s">
        <v>76</v>
      </c>
      <c r="C24" s="202" t="s">
        <v>47</v>
      </c>
      <c r="D24" s="203">
        <f>687*0.9</f>
        <v>618.30000000000007</v>
      </c>
      <c r="E24" s="510"/>
      <c r="F24" s="204">
        <f>D24*E24</f>
        <v>0</v>
      </c>
    </row>
    <row r="25" spans="1:6">
      <c r="A25" s="200"/>
      <c r="B25" s="201" t="s">
        <v>75</v>
      </c>
      <c r="C25" s="202" t="s">
        <v>47</v>
      </c>
      <c r="D25" s="203">
        <v>11.31</v>
      </c>
      <c r="E25" s="510"/>
      <c r="F25" s="204">
        <f>D25*E25</f>
        <v>0</v>
      </c>
    </row>
    <row r="26" spans="1:6" ht="38.25">
      <c r="A26" s="167" t="s">
        <v>58</v>
      </c>
      <c r="B26" s="191" t="s">
        <v>102</v>
      </c>
      <c r="C26" s="192"/>
      <c r="D26" s="193"/>
      <c r="E26" s="194"/>
      <c r="F26" s="195"/>
    </row>
    <row r="27" spans="1:6">
      <c r="A27" s="200"/>
      <c r="B27" s="201" t="s">
        <v>76</v>
      </c>
      <c r="C27" s="202" t="s">
        <v>47</v>
      </c>
      <c r="D27" s="203">
        <f>1030*0.25</f>
        <v>257.5</v>
      </c>
      <c r="E27" s="510"/>
      <c r="F27" s="204">
        <f>D27*E27</f>
        <v>0</v>
      </c>
    </row>
    <row r="28" spans="1:6" ht="38.25">
      <c r="A28" s="124" t="s">
        <v>59</v>
      </c>
      <c r="B28" s="191" t="s">
        <v>78</v>
      </c>
      <c r="C28" s="53" t="s">
        <v>47</v>
      </c>
      <c r="D28" s="203">
        <f>687*0.1</f>
        <v>68.7</v>
      </c>
      <c r="E28" s="511"/>
      <c r="F28" s="71">
        <f>D28*E28</f>
        <v>0</v>
      </c>
    </row>
    <row r="29" spans="1:6" ht="38.25">
      <c r="A29" s="124" t="s">
        <v>60</v>
      </c>
      <c r="B29" s="231" t="s">
        <v>29</v>
      </c>
      <c r="C29" s="53" t="s">
        <v>48</v>
      </c>
      <c r="D29" s="50">
        <f>1.9*2*325</f>
        <v>1235</v>
      </c>
      <c r="E29" s="512"/>
      <c r="F29" s="71">
        <f t="shared" ref="F29:F45" si="3">D29*E29</f>
        <v>0</v>
      </c>
    </row>
    <row r="30" spans="1:6" ht="63.75">
      <c r="A30" s="124" t="s">
        <v>61</v>
      </c>
      <c r="B30" s="48" t="s">
        <v>73</v>
      </c>
      <c r="C30" s="53" t="s">
        <v>6</v>
      </c>
      <c r="D30" s="50">
        <f>13+2</f>
        <v>15</v>
      </c>
      <c r="E30" s="512"/>
      <c r="F30" s="71">
        <f t="shared" si="3"/>
        <v>0</v>
      </c>
    </row>
    <row r="31" spans="1:6" ht="38.25">
      <c r="A31" s="119" t="s">
        <v>62</v>
      </c>
      <c r="B31" s="231" t="s">
        <v>44</v>
      </c>
      <c r="C31" s="55" t="s">
        <v>48</v>
      </c>
      <c r="D31" s="50">
        <f>325*0.9</f>
        <v>292.5</v>
      </c>
      <c r="E31" s="507"/>
      <c r="F31" s="71">
        <f t="shared" si="3"/>
        <v>0</v>
      </c>
    </row>
    <row r="32" spans="1:6" ht="51">
      <c r="A32" s="124" t="s">
        <v>63</v>
      </c>
      <c r="B32" s="183" t="s">
        <v>83</v>
      </c>
      <c r="C32" s="53" t="s">
        <v>47</v>
      </c>
      <c r="D32" s="50">
        <f>65*1.1</f>
        <v>71.5</v>
      </c>
      <c r="E32" s="507"/>
      <c r="F32" s="71">
        <f t="shared" si="3"/>
        <v>0</v>
      </c>
    </row>
    <row r="33" spans="1:7" ht="63.75">
      <c r="A33" s="119" t="s">
        <v>64</v>
      </c>
      <c r="B33" s="183" t="s">
        <v>84</v>
      </c>
      <c r="C33" s="53" t="s">
        <v>47</v>
      </c>
      <c r="D33" s="50">
        <f>113.02*1.1</f>
        <v>124.322</v>
      </c>
      <c r="E33" s="507"/>
      <c r="F33" s="71">
        <f t="shared" si="3"/>
        <v>0</v>
      </c>
    </row>
    <row r="34" spans="1:7" ht="76.5">
      <c r="A34" s="124" t="s">
        <v>65</v>
      </c>
      <c r="B34" s="48" t="s">
        <v>22</v>
      </c>
      <c r="C34" s="53" t="s">
        <v>47</v>
      </c>
      <c r="D34" s="50">
        <v>468.6</v>
      </c>
      <c r="E34" s="507"/>
      <c r="F34" s="71">
        <f t="shared" si="3"/>
        <v>0</v>
      </c>
    </row>
    <row r="35" spans="1:7" ht="38.25">
      <c r="A35" s="119" t="s">
        <v>66</v>
      </c>
      <c r="B35" s="186" t="s">
        <v>85</v>
      </c>
      <c r="C35" s="53" t="s">
        <v>47</v>
      </c>
      <c r="D35" s="50">
        <f>1030*0.3*1.1</f>
        <v>339.90000000000003</v>
      </c>
      <c r="E35" s="507"/>
      <c r="F35" s="71">
        <f t="shared" si="3"/>
        <v>0</v>
      </c>
    </row>
    <row r="36" spans="1:7" ht="38.25">
      <c r="A36" s="124" t="s">
        <v>67</v>
      </c>
      <c r="B36" s="186" t="s">
        <v>96</v>
      </c>
      <c r="C36" s="53" t="s">
        <v>47</v>
      </c>
      <c r="D36" s="50">
        <f>1030*0.25*1.1</f>
        <v>283.25</v>
      </c>
      <c r="E36" s="507"/>
      <c r="F36" s="71">
        <f t="shared" si="3"/>
        <v>0</v>
      </c>
    </row>
    <row r="37" spans="1:7" ht="38.25">
      <c r="A37" s="124" t="s">
        <v>68</v>
      </c>
      <c r="B37" s="186" t="s">
        <v>124</v>
      </c>
      <c r="C37" s="53" t="s">
        <v>47</v>
      </c>
      <c r="D37" s="50">
        <f>22*0.3*1.1</f>
        <v>7.26</v>
      </c>
      <c r="E37" s="507"/>
      <c r="F37" s="71">
        <f t="shared" si="3"/>
        <v>0</v>
      </c>
    </row>
    <row r="38" spans="1:7">
      <c r="A38" s="119" t="s">
        <v>69</v>
      </c>
      <c r="B38" s="72" t="s">
        <v>456</v>
      </c>
      <c r="C38" s="49" t="s">
        <v>9</v>
      </c>
      <c r="D38" s="50">
        <f>2*245-30-10-15</f>
        <v>435</v>
      </c>
      <c r="E38" s="507"/>
      <c r="F38" s="71">
        <f t="shared" si="3"/>
        <v>0</v>
      </c>
    </row>
    <row r="39" spans="1:7" ht="25.5">
      <c r="A39" s="119" t="s">
        <v>70</v>
      </c>
      <c r="B39" s="72" t="s">
        <v>45</v>
      </c>
      <c r="C39" s="49" t="s">
        <v>9</v>
      </c>
      <c r="D39" s="50">
        <v>325</v>
      </c>
      <c r="E39" s="507"/>
      <c r="F39" s="71">
        <f t="shared" ref="F39" si="4">D39*E39</f>
        <v>0</v>
      </c>
    </row>
    <row r="40" spans="1:7" ht="38.25">
      <c r="A40" s="124" t="s">
        <v>71</v>
      </c>
      <c r="B40" s="72" t="s">
        <v>435</v>
      </c>
      <c r="C40" s="53" t="s">
        <v>47</v>
      </c>
      <c r="D40" s="50">
        <f>((D9*0.1)+D21+D22+D24+D25+D27-D34)*1.25</f>
        <v>1030.7625</v>
      </c>
      <c r="E40" s="507"/>
      <c r="F40" s="71">
        <f t="shared" si="3"/>
        <v>0</v>
      </c>
    </row>
    <row r="41" spans="1:7" ht="25.5">
      <c r="A41" s="119" t="s">
        <v>79</v>
      </c>
      <c r="B41" s="48" t="s">
        <v>23</v>
      </c>
      <c r="C41" s="55" t="s">
        <v>48</v>
      </c>
      <c r="D41" s="50">
        <v>1030</v>
      </c>
      <c r="E41" s="507"/>
      <c r="F41" s="71">
        <f t="shared" si="3"/>
        <v>0</v>
      </c>
    </row>
    <row r="42" spans="1:7">
      <c r="A42" s="119" t="s">
        <v>98</v>
      </c>
      <c r="B42" s="48" t="s">
        <v>127</v>
      </c>
      <c r="C42" s="55" t="s">
        <v>48</v>
      </c>
      <c r="D42" s="50">
        <v>22</v>
      </c>
      <c r="E42" s="507"/>
      <c r="F42" s="71">
        <f t="shared" si="3"/>
        <v>0</v>
      </c>
    </row>
    <row r="43" spans="1:7" s="247" customFormat="1">
      <c r="A43" s="119" t="s">
        <v>105</v>
      </c>
      <c r="B43" s="231" t="s">
        <v>108</v>
      </c>
      <c r="C43" s="55" t="s">
        <v>48</v>
      </c>
      <c r="D43" s="50">
        <f>(D41+D42)*1.1</f>
        <v>1157.2</v>
      </c>
      <c r="E43" s="507"/>
      <c r="F43" s="71">
        <f t="shared" si="3"/>
        <v>0</v>
      </c>
      <c r="G43" s="40"/>
    </row>
    <row r="44" spans="1:7" ht="38.25">
      <c r="A44" s="124" t="s">
        <v>436</v>
      </c>
      <c r="B44" s="72" t="s">
        <v>86</v>
      </c>
      <c r="C44" s="53" t="s">
        <v>47</v>
      </c>
      <c r="D44" s="50">
        <f>D20</f>
        <v>37.800000000000004</v>
      </c>
      <c r="E44" s="507"/>
      <c r="F44" s="71">
        <f t="shared" si="3"/>
        <v>0</v>
      </c>
    </row>
    <row r="45" spans="1:7" ht="26.25" thickBot="1">
      <c r="A45" s="124" t="s">
        <v>457</v>
      </c>
      <c r="B45" s="233" t="s">
        <v>74</v>
      </c>
      <c r="C45" s="53" t="s">
        <v>48</v>
      </c>
      <c r="D45" s="50">
        <f>D44/0.2</f>
        <v>189</v>
      </c>
      <c r="E45" s="507"/>
      <c r="F45" s="71">
        <f t="shared" si="3"/>
        <v>0</v>
      </c>
    </row>
    <row r="46" spans="1:7" ht="15" thickBot="1">
      <c r="A46" s="164" t="s">
        <v>36</v>
      </c>
      <c r="B46" s="165" t="s">
        <v>11</v>
      </c>
      <c r="C46" s="74"/>
      <c r="D46" s="75"/>
      <c r="E46" s="105"/>
      <c r="F46" s="166">
        <f>SUM(F20:F45)</f>
        <v>0</v>
      </c>
    </row>
    <row r="47" spans="1:7" ht="15" thickBot="1">
      <c r="A47" s="120"/>
      <c r="B47" s="76"/>
      <c r="C47" s="77"/>
      <c r="D47" s="78"/>
      <c r="E47" s="106"/>
      <c r="F47" s="99"/>
    </row>
    <row r="48" spans="1:7" ht="15" thickBot="1">
      <c r="A48" s="125"/>
      <c r="B48" s="79" t="s">
        <v>37</v>
      </c>
      <c r="C48" s="80"/>
      <c r="D48" s="81"/>
      <c r="E48" s="107"/>
      <c r="F48" s="108"/>
    </row>
    <row r="49" spans="1:6" ht="63.75">
      <c r="A49" s="122"/>
      <c r="B49" s="82" t="s">
        <v>24</v>
      </c>
      <c r="C49" s="45"/>
      <c r="D49" s="46"/>
      <c r="E49" s="97"/>
      <c r="F49" s="47"/>
    </row>
    <row r="50" spans="1:6" ht="76.5">
      <c r="A50" s="123">
        <v>1</v>
      </c>
      <c r="B50" s="72" t="s">
        <v>94</v>
      </c>
      <c r="C50" s="57" t="s">
        <v>9</v>
      </c>
      <c r="D50" s="114">
        <v>335</v>
      </c>
      <c r="E50" s="513"/>
      <c r="F50" s="73">
        <f t="shared" ref="F50:F52" si="5">D50*E50</f>
        <v>0</v>
      </c>
    </row>
    <row r="51" spans="1:6">
      <c r="A51" s="181"/>
      <c r="B51" s="171" t="s">
        <v>121</v>
      </c>
      <c r="C51" s="172" t="s">
        <v>6</v>
      </c>
      <c r="D51" s="114">
        <v>34</v>
      </c>
      <c r="E51" s="513"/>
      <c r="F51" s="73">
        <f t="shared" si="5"/>
        <v>0</v>
      </c>
    </row>
    <row r="52" spans="1:6">
      <c r="A52" s="123"/>
      <c r="B52" s="233" t="s">
        <v>122</v>
      </c>
      <c r="C52" s="57" t="s">
        <v>6</v>
      </c>
      <c r="D52" s="114">
        <f>3+1</f>
        <v>4</v>
      </c>
      <c r="E52" s="513"/>
      <c r="F52" s="73">
        <f t="shared" si="5"/>
        <v>0</v>
      </c>
    </row>
    <row r="53" spans="1:6" ht="191.25">
      <c r="A53" s="174" t="s">
        <v>55</v>
      </c>
      <c r="B53" s="251" t="s">
        <v>95</v>
      </c>
      <c r="C53" s="175"/>
      <c r="D53" s="176"/>
      <c r="E53" s="177"/>
      <c r="F53" s="178"/>
    </row>
    <row r="54" spans="1:6">
      <c r="A54" s="181"/>
      <c r="B54" s="171" t="s">
        <v>30</v>
      </c>
      <c r="C54" s="172" t="s">
        <v>6</v>
      </c>
      <c r="D54" s="173">
        <v>16</v>
      </c>
      <c r="E54" s="514"/>
      <c r="F54" s="182">
        <f t="shared" ref="F54:F66" si="6">D54*E54</f>
        <v>0</v>
      </c>
    </row>
    <row r="55" spans="1:6">
      <c r="A55" s="181"/>
      <c r="B55" s="171" t="s">
        <v>31</v>
      </c>
      <c r="C55" s="172" t="s">
        <v>6</v>
      </c>
      <c r="D55" s="173">
        <v>4</v>
      </c>
      <c r="E55" s="514"/>
      <c r="F55" s="182">
        <f t="shared" ref="F55" si="7">D55*E55</f>
        <v>0</v>
      </c>
    </row>
    <row r="56" spans="1:6" ht="76.5">
      <c r="A56" s="123" t="s">
        <v>56</v>
      </c>
      <c r="B56" s="468" t="s">
        <v>112</v>
      </c>
      <c r="C56" s="49"/>
      <c r="D56" s="50"/>
      <c r="E56" s="263"/>
      <c r="F56" s="73"/>
    </row>
    <row r="57" spans="1:6">
      <c r="A57" s="181"/>
      <c r="B57" s="455" t="s">
        <v>113</v>
      </c>
      <c r="C57" s="464"/>
      <c r="D57" s="465"/>
      <c r="E57" s="466"/>
      <c r="F57" s="466"/>
    </row>
    <row r="58" spans="1:6">
      <c r="A58" s="249"/>
      <c r="B58" s="467" t="s">
        <v>114</v>
      </c>
      <c r="C58" s="464"/>
      <c r="D58" s="465"/>
      <c r="E58" s="466"/>
      <c r="F58" s="466"/>
    </row>
    <row r="59" spans="1:6">
      <c r="A59" s="249"/>
      <c r="B59" s="467" t="s">
        <v>115</v>
      </c>
      <c r="C59" s="464"/>
      <c r="D59" s="465"/>
      <c r="E59" s="466"/>
      <c r="F59" s="466"/>
    </row>
    <row r="60" spans="1:6">
      <c r="A60" s="249"/>
      <c r="B60" s="467" t="s">
        <v>116</v>
      </c>
      <c r="C60" s="258" t="s">
        <v>6</v>
      </c>
      <c r="D60" s="259">
        <v>1</v>
      </c>
      <c r="E60" s="514"/>
      <c r="F60" s="182">
        <f>D60*E60</f>
        <v>0</v>
      </c>
    </row>
    <row r="61" spans="1:6" ht="51">
      <c r="A61" s="123" t="s">
        <v>57</v>
      </c>
      <c r="B61" s="72" t="s">
        <v>103</v>
      </c>
      <c r="C61" s="49" t="s">
        <v>6</v>
      </c>
      <c r="D61" s="50">
        <v>1</v>
      </c>
      <c r="E61" s="507"/>
      <c r="F61" s="73">
        <f t="shared" si="6"/>
        <v>0</v>
      </c>
    </row>
    <row r="62" spans="1:6" ht="102">
      <c r="A62" s="123" t="s">
        <v>58</v>
      </c>
      <c r="B62" s="231" t="s">
        <v>87</v>
      </c>
      <c r="C62" s="49" t="s">
        <v>6</v>
      </c>
      <c r="D62" s="50">
        <v>11</v>
      </c>
      <c r="E62" s="512"/>
      <c r="F62" s="73">
        <f t="shared" si="6"/>
        <v>0</v>
      </c>
    </row>
    <row r="63" spans="1:6" ht="51">
      <c r="A63" s="123" t="s">
        <v>59</v>
      </c>
      <c r="B63" s="48" t="s">
        <v>88</v>
      </c>
      <c r="C63" s="49" t="s">
        <v>6</v>
      </c>
      <c r="D63" s="50">
        <v>11</v>
      </c>
      <c r="E63" s="512"/>
      <c r="F63" s="73">
        <f t="shared" si="6"/>
        <v>0</v>
      </c>
    </row>
    <row r="64" spans="1:6" ht="38.25">
      <c r="A64" s="123" t="s">
        <v>60</v>
      </c>
      <c r="B64" s="188" t="s">
        <v>89</v>
      </c>
      <c r="C64" s="49" t="s">
        <v>6</v>
      </c>
      <c r="D64" s="189">
        <v>11</v>
      </c>
      <c r="E64" s="508"/>
      <c r="F64" s="73">
        <f t="shared" si="6"/>
        <v>0</v>
      </c>
    </row>
    <row r="65" spans="1:45" ht="89.25">
      <c r="A65" s="123" t="s">
        <v>61</v>
      </c>
      <c r="B65" s="231" t="s">
        <v>80</v>
      </c>
      <c r="C65" s="49" t="s">
        <v>9</v>
      </c>
      <c r="D65" s="50">
        <f>8*11</f>
        <v>88</v>
      </c>
      <c r="E65" s="512"/>
      <c r="F65" s="73">
        <f t="shared" si="6"/>
        <v>0</v>
      </c>
    </row>
    <row r="66" spans="1:45" ht="15" thickBot="1">
      <c r="A66" s="179"/>
      <c r="B66" s="168" t="s">
        <v>106</v>
      </c>
      <c r="C66" s="169" t="s">
        <v>6</v>
      </c>
      <c r="D66" s="170">
        <v>11</v>
      </c>
      <c r="E66" s="515"/>
      <c r="F66" s="180">
        <f t="shared" si="6"/>
        <v>0</v>
      </c>
    </row>
    <row r="67" spans="1:45" ht="15" thickBot="1">
      <c r="A67" s="161" t="s">
        <v>38</v>
      </c>
      <c r="B67" s="163" t="s">
        <v>26</v>
      </c>
      <c r="C67" s="83"/>
      <c r="D67" s="84"/>
      <c r="E67" s="109"/>
      <c r="F67" s="162">
        <f>SUM(F50:F66)</f>
        <v>0</v>
      </c>
    </row>
    <row r="68" spans="1:45" ht="15" thickBot="1">
      <c r="A68" s="120"/>
      <c r="B68" s="61"/>
      <c r="C68" s="62"/>
      <c r="D68" s="63"/>
      <c r="E68" s="99"/>
      <c r="F68" s="99"/>
    </row>
    <row r="69" spans="1:45" ht="15" thickBot="1">
      <c r="A69" s="121"/>
      <c r="B69" s="85" t="s">
        <v>39</v>
      </c>
      <c r="C69" s="86"/>
      <c r="D69" s="87"/>
      <c r="E69" s="110"/>
      <c r="F69" s="111"/>
    </row>
    <row r="70" spans="1:45" ht="76.5">
      <c r="A70" s="118"/>
      <c r="B70" s="67" t="s">
        <v>8</v>
      </c>
      <c r="C70" s="68"/>
      <c r="D70" s="69"/>
      <c r="E70" s="103"/>
      <c r="F70" s="104"/>
    </row>
    <row r="71" spans="1:45" ht="25.5">
      <c r="A71" s="119" t="s">
        <v>54</v>
      </c>
      <c r="B71" s="88" t="s">
        <v>42</v>
      </c>
      <c r="C71" s="55" t="s">
        <v>9</v>
      </c>
      <c r="D71" s="115">
        <v>325</v>
      </c>
      <c r="E71" s="516"/>
      <c r="F71" s="51">
        <f t="shared" ref="F71:F80" si="8">D71*E71</f>
        <v>0</v>
      </c>
    </row>
    <row r="72" spans="1:45" ht="25.5">
      <c r="A72" s="119" t="s">
        <v>55</v>
      </c>
      <c r="B72" s="88" t="s">
        <v>100</v>
      </c>
      <c r="C72" s="55" t="s">
        <v>9</v>
      </c>
      <c r="D72" s="115">
        <f>D71</f>
        <v>325</v>
      </c>
      <c r="E72" s="516"/>
      <c r="F72" s="51">
        <f>D72*E72</f>
        <v>0</v>
      </c>
    </row>
    <row r="73" spans="1:45">
      <c r="A73" s="119" t="s">
        <v>56</v>
      </c>
      <c r="B73" s="88" t="s">
        <v>101</v>
      </c>
      <c r="C73" s="55" t="s">
        <v>9</v>
      </c>
      <c r="D73" s="115">
        <f>D71</f>
        <v>325</v>
      </c>
      <c r="E73" s="516"/>
      <c r="F73" s="51">
        <f>D73*E73</f>
        <v>0</v>
      </c>
    </row>
    <row r="74" spans="1:45" ht="25.5">
      <c r="A74" s="119" t="s">
        <v>57</v>
      </c>
      <c r="B74" s="240" t="s">
        <v>109</v>
      </c>
      <c r="C74" s="49" t="s">
        <v>48</v>
      </c>
      <c r="D74" s="50">
        <v>805</v>
      </c>
      <c r="E74" s="517"/>
      <c r="F74" s="51">
        <f>D74*E74</f>
        <v>0</v>
      </c>
    </row>
    <row r="75" spans="1:45" ht="25.5">
      <c r="A75" s="123" t="s">
        <v>58</v>
      </c>
      <c r="B75" s="187" t="s">
        <v>110</v>
      </c>
      <c r="C75" s="49" t="s">
        <v>48</v>
      </c>
      <c r="D75" s="50">
        <f>D74</f>
        <v>805</v>
      </c>
      <c r="E75" s="517"/>
      <c r="F75" s="51">
        <f t="shared" si="8"/>
        <v>0</v>
      </c>
    </row>
    <row r="76" spans="1:45" ht="25.5">
      <c r="A76" s="119" t="s">
        <v>59</v>
      </c>
      <c r="B76" s="52" t="s">
        <v>91</v>
      </c>
      <c r="C76" s="49" t="s">
        <v>47</v>
      </c>
      <c r="D76" s="50">
        <v>5</v>
      </c>
      <c r="E76" s="507"/>
      <c r="F76" s="51">
        <f t="shared" si="8"/>
        <v>0</v>
      </c>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239"/>
      <c r="AP76" s="239"/>
      <c r="AQ76" s="239"/>
      <c r="AR76" s="239"/>
      <c r="AS76" s="239"/>
    </row>
    <row r="77" spans="1:45" ht="51">
      <c r="A77" s="119" t="s">
        <v>60</v>
      </c>
      <c r="B77" s="52" t="s">
        <v>438</v>
      </c>
      <c r="C77" s="49" t="s">
        <v>48</v>
      </c>
      <c r="D77" s="50">
        <v>2</v>
      </c>
      <c r="E77" s="507"/>
      <c r="F77" s="51">
        <f t="shared" si="8"/>
        <v>0</v>
      </c>
    </row>
    <row r="78" spans="1:45" ht="51">
      <c r="A78" s="119" t="s">
        <v>61</v>
      </c>
      <c r="B78" s="230" t="s">
        <v>437</v>
      </c>
      <c r="C78" s="49" t="s">
        <v>9</v>
      </c>
      <c r="D78" s="185">
        <v>2</v>
      </c>
      <c r="E78" s="508"/>
      <c r="F78" s="51">
        <f t="shared" si="8"/>
        <v>0</v>
      </c>
    </row>
    <row r="79" spans="1:45" ht="38.25">
      <c r="A79" s="119" t="s">
        <v>62</v>
      </c>
      <c r="B79" s="230" t="s">
        <v>439</v>
      </c>
      <c r="C79" s="49" t="s">
        <v>9</v>
      </c>
      <c r="D79" s="185">
        <v>40</v>
      </c>
      <c r="E79" s="508"/>
      <c r="F79" s="51">
        <f t="shared" ref="F79" si="9">D79*E79</f>
        <v>0</v>
      </c>
    </row>
    <row r="80" spans="1:45" ht="51">
      <c r="A80" s="119" t="s">
        <v>63</v>
      </c>
      <c r="B80" s="52" t="s">
        <v>21</v>
      </c>
      <c r="C80" s="49" t="s">
        <v>6</v>
      </c>
      <c r="D80" s="50">
        <v>7</v>
      </c>
      <c r="E80" s="507"/>
      <c r="F80" s="51">
        <f t="shared" si="8"/>
        <v>0</v>
      </c>
    </row>
    <row r="81" spans="1:7" s="205" customFormat="1" ht="51">
      <c r="A81" s="119" t="s">
        <v>64</v>
      </c>
      <c r="B81" s="52" t="s">
        <v>93</v>
      </c>
      <c r="C81" s="49" t="s">
        <v>6</v>
      </c>
      <c r="D81" s="50">
        <v>4</v>
      </c>
      <c r="E81" s="507"/>
      <c r="F81" s="51">
        <f>D81*E81</f>
        <v>0</v>
      </c>
      <c r="G81" s="91"/>
    </row>
    <row r="82" spans="1:7" s="205" customFormat="1" ht="39" thickBot="1">
      <c r="A82" s="119" t="s">
        <v>65</v>
      </c>
      <c r="B82" s="52" t="s">
        <v>408</v>
      </c>
      <c r="C82" s="49" t="s">
        <v>6</v>
      </c>
      <c r="D82" s="50">
        <v>1</v>
      </c>
      <c r="E82" s="507"/>
      <c r="F82" s="51">
        <f>D82*E82</f>
        <v>0</v>
      </c>
      <c r="G82" s="91"/>
    </row>
    <row r="83" spans="1:7" ht="15" thickBot="1">
      <c r="A83" s="158" t="s">
        <v>40</v>
      </c>
      <c r="B83" s="159" t="s">
        <v>10</v>
      </c>
      <c r="C83" s="89"/>
      <c r="D83" s="90"/>
      <c r="E83" s="112"/>
      <c r="F83" s="160">
        <f>SUM(F71:F82)</f>
        <v>0</v>
      </c>
    </row>
    <row r="84" spans="1:7" ht="15" thickBot="1"/>
    <row r="85" spans="1:7" ht="15" thickBot="1">
      <c r="A85" s="224"/>
      <c r="B85" s="225" t="s">
        <v>432</v>
      </c>
      <c r="C85" s="226"/>
      <c r="D85" s="227"/>
      <c r="E85" s="228"/>
      <c r="F85" s="229">
        <f>F15+F46+F67+F83</f>
        <v>0</v>
      </c>
    </row>
  </sheetData>
  <sheetProtection algorithmName="SHA-512" hashValue="F7qEbCLBWQlVB2MLDm1CgAo4dSPmTOdxS+gxjNqFTmyryXXfU57iJGVgAthlvy+bwCYsWpwDv1ae60hyKqGfoA==" saltValue="KWEBK1OFKiLnr2vCFCYDgw==" spinCount="100000" sheet="1" objects="1" scenarios="1"/>
  <pageMargins left="0.70866141732283472" right="0.70866141732283472" top="0.74803149606299213" bottom="0.74803149606299213" header="0.31496062992125984" footer="0.31496062992125984"/>
  <pageSetup paperSize="9" orientation="portrait" r:id="rId1"/>
  <headerFooter>
    <oddHeader>&amp;LSAVINJAPROJEKT d.o.o.&amp;RŠt. projekta: 68/2018</oddHeader>
    <oddFooter>&amp;C&amp;P</oddFooter>
  </headerFooter>
  <rowBreaks count="1" manualBreakCount="1">
    <brk id="47" max="16383" man="1"/>
  </rowBreaks>
  <ignoredErrors>
    <ignoredError sqref="A6:A13 A53:A65 A71:A82 A20:A3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S59"/>
  <sheetViews>
    <sheetView view="pageBreakPreview" topLeftCell="A43" zoomScaleNormal="100" zoomScaleSheetLayoutView="100" workbookViewId="0">
      <selection activeCell="E50" activeCellId="7" sqref="E5:E9 E16:E17 E19:E22 E23:E30 E35 E36 E38:E45 E50:E56"/>
    </sheetView>
  </sheetViews>
  <sheetFormatPr defaultRowHeight="14.25"/>
  <cols>
    <col min="1" max="1" width="4.85546875" style="126" bestFit="1" customWidth="1"/>
    <col min="2" max="2" width="45.42578125" style="91" customWidth="1"/>
    <col min="3" max="3" width="6.5703125" style="92" bestFit="1" customWidth="1"/>
    <col min="4" max="4" width="8.7109375" style="93" customWidth="1"/>
    <col min="5" max="5" width="10.7109375" style="113" customWidth="1"/>
    <col min="6" max="6" width="12.7109375" style="113" customWidth="1"/>
    <col min="7" max="7" width="9.140625" style="40"/>
    <col min="8" max="16384" width="9.140625" style="37"/>
  </cols>
  <sheetData>
    <row r="1" spans="1:6" s="238" customFormat="1" ht="18">
      <c r="A1" s="250" t="s">
        <v>118</v>
      </c>
      <c r="B1" s="234" t="s">
        <v>440</v>
      </c>
      <c r="C1" s="235"/>
      <c r="D1" s="236"/>
      <c r="E1" s="237"/>
      <c r="F1" s="237"/>
    </row>
    <row r="2" spans="1:6" ht="15" thickBot="1"/>
    <row r="3" spans="1:6" ht="26.25" thickBot="1">
      <c r="A3" s="116" t="s">
        <v>0</v>
      </c>
      <c r="B3" s="38" t="s">
        <v>1</v>
      </c>
      <c r="C3" s="38" t="s">
        <v>2</v>
      </c>
      <c r="D3" s="39" t="s">
        <v>3</v>
      </c>
      <c r="E3" s="206" t="s">
        <v>4</v>
      </c>
      <c r="F3" s="94" t="s">
        <v>5</v>
      </c>
    </row>
    <row r="4" spans="1:6" ht="15" thickBot="1">
      <c r="A4" s="117"/>
      <c r="B4" s="41" t="s">
        <v>33</v>
      </c>
      <c r="C4" s="42"/>
      <c r="D4" s="43"/>
      <c r="E4" s="95"/>
      <c r="F4" s="96"/>
    </row>
    <row r="5" spans="1:6" ht="25.5">
      <c r="A5" s="232">
        <v>1</v>
      </c>
      <c r="B5" s="48" t="s">
        <v>46</v>
      </c>
      <c r="C5" s="49" t="s">
        <v>9</v>
      </c>
      <c r="D5" s="50">
        <v>25</v>
      </c>
      <c r="E5" s="507"/>
      <c r="F5" s="51">
        <f t="shared" ref="F5:F8" si="0">D5*E5</f>
        <v>0</v>
      </c>
    </row>
    <row r="6" spans="1:6" ht="25.5">
      <c r="A6" s="119" t="s">
        <v>55</v>
      </c>
      <c r="B6" s="52" t="s">
        <v>28</v>
      </c>
      <c r="C6" s="49" t="s">
        <v>6</v>
      </c>
      <c r="D6" s="50">
        <f>1+2+1</f>
        <v>4</v>
      </c>
      <c r="E6" s="507"/>
      <c r="F6" s="51">
        <f t="shared" si="0"/>
        <v>0</v>
      </c>
    </row>
    <row r="7" spans="1:6" ht="38.25">
      <c r="A7" s="118" t="s">
        <v>56</v>
      </c>
      <c r="B7" s="48" t="s">
        <v>82</v>
      </c>
      <c r="C7" s="53" t="s">
        <v>47</v>
      </c>
      <c r="D7" s="50">
        <v>3</v>
      </c>
      <c r="E7" s="507"/>
      <c r="F7" s="51">
        <f t="shared" si="0"/>
        <v>0</v>
      </c>
    </row>
    <row r="8" spans="1:6">
      <c r="A8" s="119" t="s">
        <v>57</v>
      </c>
      <c r="B8" s="52" t="s">
        <v>443</v>
      </c>
      <c r="C8" s="49" t="s">
        <v>284</v>
      </c>
      <c r="D8" s="50">
        <v>15</v>
      </c>
      <c r="E8" s="507"/>
      <c r="F8" s="51">
        <f t="shared" si="0"/>
        <v>0</v>
      </c>
    </row>
    <row r="9" spans="1:6">
      <c r="A9" s="119" t="s">
        <v>58</v>
      </c>
      <c r="B9" s="52" t="s">
        <v>444</v>
      </c>
      <c r="C9" s="49" t="s">
        <v>6</v>
      </c>
      <c r="D9" s="50">
        <v>2</v>
      </c>
      <c r="E9" s="507"/>
      <c r="F9" s="51">
        <f t="shared" ref="F9" si="1">D9*E9</f>
        <v>0</v>
      </c>
    </row>
    <row r="10" spans="1:6" ht="15" thickBot="1">
      <c r="A10" s="122"/>
      <c r="B10" s="459"/>
      <c r="C10" s="460"/>
      <c r="D10" s="461"/>
      <c r="E10" s="462"/>
      <c r="F10" s="463"/>
    </row>
    <row r="11" spans="1:6" ht="15" thickBot="1">
      <c r="A11" s="155" t="s">
        <v>34</v>
      </c>
      <c r="B11" s="58" t="s">
        <v>12</v>
      </c>
      <c r="C11" s="59"/>
      <c r="D11" s="60"/>
      <c r="E11" s="98"/>
      <c r="F11" s="156">
        <f>SUM(F5:F10)</f>
        <v>0</v>
      </c>
    </row>
    <row r="12" spans="1:6" ht="15" thickBot="1">
      <c r="A12" s="120"/>
      <c r="B12" s="61"/>
      <c r="C12" s="62"/>
      <c r="D12" s="63"/>
      <c r="E12" s="99"/>
      <c r="F12" s="100"/>
    </row>
    <row r="13" spans="1:6" ht="15" thickBot="1">
      <c r="A13" s="121"/>
      <c r="B13" s="64" t="s">
        <v>35</v>
      </c>
      <c r="C13" s="65"/>
      <c r="D13" s="66"/>
      <c r="E13" s="101"/>
      <c r="F13" s="102"/>
    </row>
    <row r="14" spans="1:6" ht="51">
      <c r="A14" s="122"/>
      <c r="B14" s="67" t="s">
        <v>52</v>
      </c>
      <c r="C14" s="68"/>
      <c r="D14" s="69"/>
      <c r="E14" s="103"/>
      <c r="F14" s="104"/>
    </row>
    <row r="15" spans="1:6" ht="38.25">
      <c r="A15" s="118"/>
      <c r="B15" s="70" t="s">
        <v>25</v>
      </c>
      <c r="C15" s="49"/>
      <c r="D15" s="50"/>
      <c r="E15" s="56"/>
      <c r="F15" s="51"/>
    </row>
    <row r="16" spans="1:6" ht="38.25">
      <c r="A16" s="119" t="s">
        <v>54</v>
      </c>
      <c r="B16" s="48" t="s">
        <v>72</v>
      </c>
      <c r="C16" s="53" t="s">
        <v>47</v>
      </c>
      <c r="D16" s="50">
        <f>20*2*0.2</f>
        <v>8</v>
      </c>
      <c r="E16" s="507"/>
      <c r="F16" s="51">
        <f>D16*E16</f>
        <v>0</v>
      </c>
    </row>
    <row r="17" spans="1:6">
      <c r="A17" s="119" t="s">
        <v>55</v>
      </c>
      <c r="B17" s="48" t="s">
        <v>43</v>
      </c>
      <c r="C17" s="53" t="s">
        <v>47</v>
      </c>
      <c r="D17" s="50">
        <v>5</v>
      </c>
      <c r="E17" s="507"/>
      <c r="F17" s="51">
        <f>D17*E17</f>
        <v>0</v>
      </c>
    </row>
    <row r="18" spans="1:6" ht="51">
      <c r="A18" s="167" t="s">
        <v>56</v>
      </c>
      <c r="B18" s="191" t="s">
        <v>442</v>
      </c>
      <c r="C18" s="192"/>
      <c r="D18" s="193"/>
      <c r="E18" s="194"/>
      <c r="F18" s="195"/>
    </row>
    <row r="19" spans="1:6">
      <c r="A19" s="200"/>
      <c r="B19" s="201" t="s">
        <v>76</v>
      </c>
      <c r="C19" s="202" t="s">
        <v>47</v>
      </c>
      <c r="D19" s="203">
        <v>66.28</v>
      </c>
      <c r="E19" s="510"/>
      <c r="F19" s="204">
        <f>D19*E19</f>
        <v>0</v>
      </c>
    </row>
    <row r="20" spans="1:6">
      <c r="A20" s="200"/>
      <c r="B20" s="201" t="s">
        <v>75</v>
      </c>
      <c r="C20" s="202" t="s">
        <v>47</v>
      </c>
      <c r="D20" s="203">
        <v>2</v>
      </c>
      <c r="E20" s="510"/>
      <c r="F20" s="204">
        <f>D20*E20</f>
        <v>0</v>
      </c>
    </row>
    <row r="21" spans="1:6" ht="38.25">
      <c r="A21" s="124" t="s">
        <v>57</v>
      </c>
      <c r="B21" s="231" t="s">
        <v>29</v>
      </c>
      <c r="C21" s="53" t="s">
        <v>48</v>
      </c>
      <c r="D21" s="50">
        <f>1.7*25*2</f>
        <v>85</v>
      </c>
      <c r="E21" s="512"/>
      <c r="F21" s="71">
        <f t="shared" ref="F21:F30" si="2">D21*E21</f>
        <v>0</v>
      </c>
    </row>
    <row r="22" spans="1:6" ht="63.75">
      <c r="A22" s="124" t="s">
        <v>58</v>
      </c>
      <c r="B22" s="48" t="s">
        <v>73</v>
      </c>
      <c r="C22" s="53" t="s">
        <v>6</v>
      </c>
      <c r="D22" s="50">
        <v>3</v>
      </c>
      <c r="E22" s="512"/>
      <c r="F22" s="71">
        <f t="shared" si="2"/>
        <v>0</v>
      </c>
    </row>
    <row r="23" spans="1:6" ht="25.5">
      <c r="A23" s="119" t="s">
        <v>59</v>
      </c>
      <c r="B23" s="231" t="s">
        <v>44</v>
      </c>
      <c r="C23" s="55" t="s">
        <v>48</v>
      </c>
      <c r="D23" s="50">
        <f>25*0.9</f>
        <v>22.5</v>
      </c>
      <c r="E23" s="507"/>
      <c r="F23" s="71">
        <f t="shared" si="2"/>
        <v>0</v>
      </c>
    </row>
    <row r="24" spans="1:6" ht="51">
      <c r="A24" s="124" t="s">
        <v>60</v>
      </c>
      <c r="B24" s="183" t="s">
        <v>83</v>
      </c>
      <c r="C24" s="53" t="s">
        <v>47</v>
      </c>
      <c r="D24" s="50">
        <f>5*1.1</f>
        <v>5.5</v>
      </c>
      <c r="E24" s="507"/>
      <c r="F24" s="71">
        <f t="shared" si="2"/>
        <v>0</v>
      </c>
    </row>
    <row r="25" spans="1:6" ht="51">
      <c r="A25" s="119" t="s">
        <v>61</v>
      </c>
      <c r="B25" s="183" t="s">
        <v>84</v>
      </c>
      <c r="C25" s="53" t="s">
        <v>47</v>
      </c>
      <c r="D25" s="50">
        <f>8.36*1.1</f>
        <v>9.1959999999999997</v>
      </c>
      <c r="E25" s="507"/>
      <c r="F25" s="71">
        <f t="shared" si="2"/>
        <v>0</v>
      </c>
    </row>
    <row r="26" spans="1:6" ht="76.5">
      <c r="A26" s="124" t="s">
        <v>62</v>
      </c>
      <c r="B26" s="48" t="s">
        <v>22</v>
      </c>
      <c r="C26" s="53" t="s">
        <v>47</v>
      </c>
      <c r="D26" s="50">
        <v>52.7</v>
      </c>
      <c r="E26" s="507"/>
      <c r="F26" s="71">
        <f t="shared" si="2"/>
        <v>0</v>
      </c>
    </row>
    <row r="27" spans="1:6" ht="25.5">
      <c r="A27" s="119" t="s">
        <v>63</v>
      </c>
      <c r="B27" s="72" t="s">
        <v>45</v>
      </c>
      <c r="C27" s="49" t="s">
        <v>9</v>
      </c>
      <c r="D27" s="50">
        <v>25</v>
      </c>
      <c r="E27" s="507"/>
      <c r="F27" s="71">
        <f t="shared" si="2"/>
        <v>0</v>
      </c>
    </row>
    <row r="28" spans="1:6" ht="38.25">
      <c r="A28" s="124" t="s">
        <v>64</v>
      </c>
      <c r="B28" s="72" t="s">
        <v>445</v>
      </c>
      <c r="C28" s="53" t="s">
        <v>47</v>
      </c>
      <c r="D28" s="50">
        <f>(D17+D19+D20-D26)*1.25</f>
        <v>25.724999999999998</v>
      </c>
      <c r="E28" s="507"/>
      <c r="F28" s="71">
        <f t="shared" si="2"/>
        <v>0</v>
      </c>
    </row>
    <row r="29" spans="1:6" ht="38.25">
      <c r="A29" s="124" t="s">
        <v>65</v>
      </c>
      <c r="B29" s="72" t="s">
        <v>86</v>
      </c>
      <c r="C29" s="53" t="s">
        <v>47</v>
      </c>
      <c r="D29" s="50">
        <f>D16</f>
        <v>8</v>
      </c>
      <c r="E29" s="507"/>
      <c r="F29" s="71">
        <f t="shared" si="2"/>
        <v>0</v>
      </c>
    </row>
    <row r="30" spans="1:6" ht="26.25" thickBot="1">
      <c r="A30" s="124" t="s">
        <v>66</v>
      </c>
      <c r="B30" s="233" t="s">
        <v>74</v>
      </c>
      <c r="C30" s="53" t="s">
        <v>48</v>
      </c>
      <c r="D30" s="50">
        <f>D29/0.2</f>
        <v>40</v>
      </c>
      <c r="E30" s="507"/>
      <c r="F30" s="71">
        <f t="shared" si="2"/>
        <v>0</v>
      </c>
    </row>
    <row r="31" spans="1:6" ht="15" thickBot="1">
      <c r="A31" s="164" t="s">
        <v>36</v>
      </c>
      <c r="B31" s="165" t="s">
        <v>11</v>
      </c>
      <c r="C31" s="74"/>
      <c r="D31" s="75"/>
      <c r="E31" s="105"/>
      <c r="F31" s="166">
        <f>SUM(F16:F30)</f>
        <v>0</v>
      </c>
    </row>
    <row r="32" spans="1:6" ht="15" thickBot="1">
      <c r="A32" s="120"/>
      <c r="B32" s="76"/>
      <c r="C32" s="77"/>
      <c r="D32" s="78"/>
      <c r="E32" s="106"/>
      <c r="F32" s="99"/>
    </row>
    <row r="33" spans="1:6" ht="15" thickBot="1">
      <c r="A33" s="125"/>
      <c r="B33" s="79" t="s">
        <v>37</v>
      </c>
      <c r="C33" s="80"/>
      <c r="D33" s="81"/>
      <c r="E33" s="107"/>
      <c r="F33" s="108"/>
    </row>
    <row r="34" spans="1:6" ht="63.75">
      <c r="A34" s="122"/>
      <c r="B34" s="82" t="s">
        <v>24</v>
      </c>
      <c r="C34" s="45"/>
      <c r="D34" s="46"/>
      <c r="E34" s="97"/>
      <c r="F34" s="47"/>
    </row>
    <row r="35" spans="1:6" ht="76.5">
      <c r="A35" s="123">
        <v>1</v>
      </c>
      <c r="B35" s="233" t="s">
        <v>94</v>
      </c>
      <c r="C35" s="57" t="s">
        <v>9</v>
      </c>
      <c r="D35" s="114">
        <v>25</v>
      </c>
      <c r="E35" s="513"/>
      <c r="F35" s="73">
        <f t="shared" ref="F35:F36" si="3">D35*E35</f>
        <v>0</v>
      </c>
    </row>
    <row r="36" spans="1:6">
      <c r="A36" s="181"/>
      <c r="B36" s="171" t="s">
        <v>121</v>
      </c>
      <c r="C36" s="172" t="s">
        <v>6</v>
      </c>
      <c r="D36" s="114">
        <v>4</v>
      </c>
      <c r="E36" s="513"/>
      <c r="F36" s="73">
        <f t="shared" si="3"/>
        <v>0</v>
      </c>
    </row>
    <row r="37" spans="1:6" ht="191.25">
      <c r="A37" s="174" t="s">
        <v>55</v>
      </c>
      <c r="B37" s="251" t="s">
        <v>95</v>
      </c>
      <c r="C37" s="175"/>
      <c r="D37" s="176"/>
      <c r="E37" s="177"/>
      <c r="F37" s="178"/>
    </row>
    <row r="38" spans="1:6">
      <c r="A38" s="181"/>
      <c r="B38" s="171" t="s">
        <v>30</v>
      </c>
      <c r="C38" s="172" t="s">
        <v>6</v>
      </c>
      <c r="D38" s="173">
        <v>1</v>
      </c>
      <c r="E38" s="514"/>
      <c r="F38" s="182">
        <f t="shared" ref="F38:F45" si="4">D38*E38</f>
        <v>0</v>
      </c>
    </row>
    <row r="39" spans="1:6">
      <c r="A39" s="181"/>
      <c r="B39" s="171" t="s">
        <v>31</v>
      </c>
      <c r="C39" s="172" t="s">
        <v>6</v>
      </c>
      <c r="D39" s="173">
        <v>1</v>
      </c>
      <c r="E39" s="514"/>
      <c r="F39" s="182">
        <f t="shared" si="4"/>
        <v>0</v>
      </c>
    </row>
    <row r="40" spans="1:6" ht="51">
      <c r="A40" s="123" t="s">
        <v>57</v>
      </c>
      <c r="B40" s="72" t="s">
        <v>103</v>
      </c>
      <c r="C40" s="49" t="s">
        <v>6</v>
      </c>
      <c r="D40" s="50">
        <v>1</v>
      </c>
      <c r="E40" s="507"/>
      <c r="F40" s="73">
        <f t="shared" si="4"/>
        <v>0</v>
      </c>
    </row>
    <row r="41" spans="1:6" ht="102">
      <c r="A41" s="123" t="s">
        <v>58</v>
      </c>
      <c r="B41" s="231" t="s">
        <v>87</v>
      </c>
      <c r="C41" s="49" t="s">
        <v>6</v>
      </c>
      <c r="D41" s="50">
        <v>1</v>
      </c>
      <c r="E41" s="512"/>
      <c r="F41" s="73">
        <f t="shared" si="4"/>
        <v>0</v>
      </c>
    </row>
    <row r="42" spans="1:6" ht="51">
      <c r="A42" s="123" t="s">
        <v>59</v>
      </c>
      <c r="B42" s="48" t="s">
        <v>88</v>
      </c>
      <c r="C42" s="49" t="s">
        <v>6</v>
      </c>
      <c r="D42" s="50">
        <v>1</v>
      </c>
      <c r="E42" s="512"/>
      <c r="F42" s="73">
        <f t="shared" si="4"/>
        <v>0</v>
      </c>
    </row>
    <row r="43" spans="1:6" ht="38.25">
      <c r="A43" s="123" t="s">
        <v>60</v>
      </c>
      <c r="B43" s="188" t="s">
        <v>89</v>
      </c>
      <c r="C43" s="49" t="s">
        <v>6</v>
      </c>
      <c r="D43" s="189">
        <v>1</v>
      </c>
      <c r="E43" s="508"/>
      <c r="F43" s="73">
        <f t="shared" si="4"/>
        <v>0</v>
      </c>
    </row>
    <row r="44" spans="1:6" ht="89.25">
      <c r="A44" s="123" t="s">
        <v>61</v>
      </c>
      <c r="B44" s="231" t="s">
        <v>80</v>
      </c>
      <c r="C44" s="49" t="s">
        <v>9</v>
      </c>
      <c r="D44" s="50">
        <v>8</v>
      </c>
      <c r="E44" s="512"/>
      <c r="F44" s="73">
        <f t="shared" si="4"/>
        <v>0</v>
      </c>
    </row>
    <row r="45" spans="1:6" ht="15" thickBot="1">
      <c r="A45" s="179"/>
      <c r="B45" s="168" t="s">
        <v>106</v>
      </c>
      <c r="C45" s="169" t="s">
        <v>6</v>
      </c>
      <c r="D45" s="170">
        <v>1</v>
      </c>
      <c r="E45" s="515"/>
      <c r="F45" s="180">
        <f t="shared" si="4"/>
        <v>0</v>
      </c>
    </row>
    <row r="46" spans="1:6" ht="15" thickBot="1">
      <c r="A46" s="161" t="s">
        <v>38</v>
      </c>
      <c r="B46" s="163" t="s">
        <v>26</v>
      </c>
      <c r="C46" s="83"/>
      <c r="D46" s="84"/>
      <c r="E46" s="109"/>
      <c r="F46" s="162">
        <f>SUM(F35:F45)</f>
        <v>0</v>
      </c>
    </row>
    <row r="47" spans="1:6" ht="15" thickBot="1">
      <c r="A47" s="120"/>
      <c r="B47" s="61"/>
      <c r="C47" s="62"/>
      <c r="D47" s="63"/>
      <c r="E47" s="99"/>
      <c r="F47" s="99"/>
    </row>
    <row r="48" spans="1:6" ht="15" thickBot="1">
      <c r="A48" s="121"/>
      <c r="B48" s="85" t="s">
        <v>39</v>
      </c>
      <c r="C48" s="86"/>
      <c r="D48" s="87"/>
      <c r="E48" s="110"/>
      <c r="F48" s="111"/>
    </row>
    <row r="49" spans="1:45" ht="63.75">
      <c r="A49" s="118"/>
      <c r="B49" s="67" t="s">
        <v>8</v>
      </c>
      <c r="C49" s="68"/>
      <c r="D49" s="69"/>
      <c r="E49" s="103"/>
      <c r="F49" s="104"/>
    </row>
    <row r="50" spans="1:45" ht="25.5">
      <c r="A50" s="119" t="s">
        <v>54</v>
      </c>
      <c r="B50" s="88" t="s">
        <v>42</v>
      </c>
      <c r="C50" s="55" t="s">
        <v>9</v>
      </c>
      <c r="D50" s="115">
        <v>25</v>
      </c>
      <c r="E50" s="516"/>
      <c r="F50" s="51">
        <f t="shared" ref="F50:F54" si="5">D50*E50</f>
        <v>0</v>
      </c>
    </row>
    <row r="51" spans="1:45" ht="25.5">
      <c r="A51" s="119" t="s">
        <v>55</v>
      </c>
      <c r="B51" s="88" t="s">
        <v>100</v>
      </c>
      <c r="C51" s="55" t="s">
        <v>9</v>
      </c>
      <c r="D51" s="115">
        <f>D50</f>
        <v>25</v>
      </c>
      <c r="E51" s="516"/>
      <c r="F51" s="51">
        <f>D51*E51</f>
        <v>0</v>
      </c>
    </row>
    <row r="52" spans="1:45">
      <c r="A52" s="119" t="s">
        <v>56</v>
      </c>
      <c r="B52" s="88" t="s">
        <v>101</v>
      </c>
      <c r="C52" s="55" t="s">
        <v>9</v>
      </c>
      <c r="D52" s="115">
        <f>D50</f>
        <v>25</v>
      </c>
      <c r="E52" s="516"/>
      <c r="F52" s="51">
        <f>D52*E52</f>
        <v>0</v>
      </c>
    </row>
    <row r="53" spans="1:45" ht="25.5">
      <c r="A53" s="119" t="s">
        <v>57</v>
      </c>
      <c r="B53" s="52" t="s">
        <v>91</v>
      </c>
      <c r="C53" s="49" t="s">
        <v>47</v>
      </c>
      <c r="D53" s="50">
        <v>3</v>
      </c>
      <c r="E53" s="507"/>
      <c r="F53" s="51">
        <f t="shared" si="5"/>
        <v>0</v>
      </c>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row>
    <row r="54" spans="1:45" ht="51">
      <c r="A54" s="119" t="s">
        <v>58</v>
      </c>
      <c r="B54" s="52" t="s">
        <v>21</v>
      </c>
      <c r="C54" s="49" t="s">
        <v>6</v>
      </c>
      <c r="D54" s="50">
        <v>2</v>
      </c>
      <c r="E54" s="507"/>
      <c r="F54" s="51">
        <f t="shared" si="5"/>
        <v>0</v>
      </c>
    </row>
    <row r="55" spans="1:45" s="205" customFormat="1" ht="51">
      <c r="A55" s="119" t="s">
        <v>59</v>
      </c>
      <c r="B55" s="52" t="s">
        <v>93</v>
      </c>
      <c r="C55" s="49" t="s">
        <v>6</v>
      </c>
      <c r="D55" s="50">
        <v>1</v>
      </c>
      <c r="E55" s="507"/>
      <c r="F55" s="51">
        <f>D55*E55</f>
        <v>0</v>
      </c>
      <c r="G55" s="91"/>
    </row>
    <row r="56" spans="1:45" s="205" customFormat="1" ht="51.75" thickBot="1">
      <c r="A56" s="119" t="s">
        <v>60</v>
      </c>
      <c r="B56" s="230" t="s">
        <v>446</v>
      </c>
      <c r="C56" s="49" t="s">
        <v>6</v>
      </c>
      <c r="D56" s="50">
        <v>2</v>
      </c>
      <c r="E56" s="507"/>
      <c r="F56" s="51">
        <f>D56*E56</f>
        <v>0</v>
      </c>
      <c r="G56" s="91"/>
    </row>
    <row r="57" spans="1:45" ht="15" thickBot="1">
      <c r="A57" s="158" t="s">
        <v>40</v>
      </c>
      <c r="B57" s="159" t="s">
        <v>10</v>
      </c>
      <c r="C57" s="89"/>
      <c r="D57" s="90"/>
      <c r="E57" s="112"/>
      <c r="F57" s="160">
        <f>SUM(F50:F56)</f>
        <v>0</v>
      </c>
    </row>
    <row r="58" spans="1:45" ht="15" thickBot="1"/>
    <row r="59" spans="1:45" ht="15" thickBot="1">
      <c r="A59" s="224"/>
      <c r="B59" s="225" t="s">
        <v>441</v>
      </c>
      <c r="C59" s="226"/>
      <c r="D59" s="227"/>
      <c r="E59" s="228"/>
      <c r="F59" s="229">
        <f>F11+F31+F46+F57</f>
        <v>0</v>
      </c>
    </row>
  </sheetData>
  <sheetProtection algorithmName="SHA-512" hashValue="QvFEeCCcjG1vBiy4IHbLnarv8sbkd42mDoTU13l8o02X2TMSUuHrP93A6QWkUrcZtAJaOyaQ32BBSwj5vYuX5g==" saltValue="Ud1IyCK0xfLFA61ySj1EoQ==" spinCount="100000" sheet="1" objects="1" scenarios="1"/>
  <pageMargins left="0.70866141732283472" right="0.70866141732283472" top="0.74803149606299213" bottom="0.74803149606299213" header="0.31496062992125984" footer="0.31496062992125984"/>
  <pageSetup paperSize="9" orientation="portrait" r:id="rId1"/>
  <headerFooter>
    <oddHeader>&amp;LSAVINJAPROJEKT d.o.o.&amp;RŠt. projekta: 68/2018</oddHeader>
    <oddFooter>&amp;C&amp;P</oddFooter>
  </headerFooter>
  <rowBreaks count="1" manualBreakCount="1">
    <brk id="46" max="16383" man="1"/>
  </rowBreaks>
  <ignoredErrors>
    <ignoredError sqref="A16:A3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AS86"/>
  <sheetViews>
    <sheetView view="pageBreakPreview" topLeftCell="A71" zoomScale="115" zoomScaleNormal="100" zoomScaleSheetLayoutView="115" workbookViewId="0">
      <selection activeCell="E72" sqref="E72:E81"/>
    </sheetView>
  </sheetViews>
  <sheetFormatPr defaultRowHeight="14.25"/>
  <cols>
    <col min="1" max="1" width="4.85546875" style="126" bestFit="1" customWidth="1"/>
    <col min="2" max="2" width="45.42578125" style="91" customWidth="1"/>
    <col min="3" max="3" width="6.5703125" style="92" bestFit="1" customWidth="1"/>
    <col min="4" max="4" width="8.7109375" style="93" customWidth="1"/>
    <col min="5" max="5" width="10.7109375" style="113" customWidth="1"/>
    <col min="6" max="6" width="12.7109375" style="113" customWidth="1"/>
    <col min="7" max="7" width="9.140625" style="40"/>
    <col min="8" max="16384" width="9.140625" style="37"/>
  </cols>
  <sheetData>
    <row r="1" spans="1:6" s="238" customFormat="1" ht="18">
      <c r="A1" s="250" t="s">
        <v>119</v>
      </c>
      <c r="B1" s="234" t="s">
        <v>422</v>
      </c>
      <c r="C1" s="235"/>
      <c r="D1" s="236"/>
      <c r="E1" s="237"/>
      <c r="F1" s="237"/>
    </row>
    <row r="2" spans="1:6" ht="15" thickBot="1"/>
    <row r="3" spans="1:6" ht="26.25" thickBot="1">
      <c r="A3" s="116" t="s">
        <v>0</v>
      </c>
      <c r="B3" s="38" t="s">
        <v>1</v>
      </c>
      <c r="C3" s="38" t="s">
        <v>2</v>
      </c>
      <c r="D3" s="39" t="s">
        <v>3</v>
      </c>
      <c r="E3" s="206" t="s">
        <v>4</v>
      </c>
      <c r="F3" s="94" t="s">
        <v>5</v>
      </c>
    </row>
    <row r="4" spans="1:6" ht="15" thickBot="1">
      <c r="A4" s="117"/>
      <c r="B4" s="41" t="s">
        <v>33</v>
      </c>
      <c r="C4" s="42"/>
      <c r="D4" s="43"/>
      <c r="E4" s="95"/>
      <c r="F4" s="96"/>
    </row>
    <row r="5" spans="1:6" ht="25.5">
      <c r="A5" s="232">
        <v>1</v>
      </c>
      <c r="B5" s="48" t="s">
        <v>46</v>
      </c>
      <c r="C5" s="49" t="s">
        <v>9</v>
      </c>
      <c r="D5" s="50">
        <v>720</v>
      </c>
      <c r="E5" s="507"/>
      <c r="F5" s="51">
        <f t="shared" ref="F5:F12" si="0">D5*E5</f>
        <v>0</v>
      </c>
    </row>
    <row r="6" spans="1:6" ht="25.5">
      <c r="A6" s="119" t="s">
        <v>55</v>
      </c>
      <c r="B6" s="52" t="s">
        <v>28</v>
      </c>
      <c r="C6" s="49" t="s">
        <v>6</v>
      </c>
      <c r="D6" s="50">
        <f>1+29+14</f>
        <v>44</v>
      </c>
      <c r="E6" s="507"/>
      <c r="F6" s="51">
        <f t="shared" si="0"/>
        <v>0</v>
      </c>
    </row>
    <row r="7" spans="1:6">
      <c r="A7" s="252">
        <v>3</v>
      </c>
      <c r="B7" s="231" t="s">
        <v>125</v>
      </c>
      <c r="C7" s="55" t="s">
        <v>48</v>
      </c>
      <c r="D7" s="253">
        <v>30</v>
      </c>
      <c r="E7" s="507"/>
      <c r="F7" s="51">
        <f t="shared" si="0"/>
        <v>0</v>
      </c>
    </row>
    <row r="8" spans="1:6">
      <c r="A8" s="118" t="s">
        <v>57</v>
      </c>
      <c r="B8" s="231" t="s">
        <v>126</v>
      </c>
      <c r="C8" s="68" t="s">
        <v>6</v>
      </c>
      <c r="D8" s="50">
        <v>5</v>
      </c>
      <c r="E8" s="507"/>
      <c r="F8" s="51">
        <f t="shared" si="0"/>
        <v>0</v>
      </c>
    </row>
    <row r="9" spans="1:6" ht="38.25">
      <c r="A9" s="119" t="s">
        <v>58</v>
      </c>
      <c r="B9" s="54" t="s">
        <v>111</v>
      </c>
      <c r="C9" s="49" t="s">
        <v>9</v>
      </c>
      <c r="D9" s="50">
        <v>62</v>
      </c>
      <c r="E9" s="507"/>
      <c r="F9" s="51">
        <f t="shared" si="0"/>
        <v>0</v>
      </c>
    </row>
    <row r="10" spans="1:6" ht="38.25">
      <c r="A10" s="118" t="s">
        <v>59</v>
      </c>
      <c r="B10" s="48" t="s">
        <v>53</v>
      </c>
      <c r="C10" s="55" t="s">
        <v>48</v>
      </c>
      <c r="D10" s="50">
        <f>(13+11+625)*1.05</f>
        <v>681.45</v>
      </c>
      <c r="E10" s="507"/>
      <c r="F10" s="51">
        <f t="shared" si="0"/>
        <v>0</v>
      </c>
    </row>
    <row r="11" spans="1:6" ht="51">
      <c r="A11" s="450">
        <v>7</v>
      </c>
      <c r="B11" s="248" t="s">
        <v>401</v>
      </c>
      <c r="C11" s="55" t="s">
        <v>48</v>
      </c>
      <c r="D11" s="185">
        <v>20</v>
      </c>
      <c r="E11" s="509"/>
      <c r="F11" s="451">
        <f t="shared" si="0"/>
        <v>0</v>
      </c>
    </row>
    <row r="12" spans="1:6" ht="39" thickBot="1">
      <c r="A12" s="118" t="s">
        <v>61</v>
      </c>
      <c r="B12" s="48" t="s">
        <v>82</v>
      </c>
      <c r="C12" s="53" t="s">
        <v>47</v>
      </c>
      <c r="D12" s="50">
        <v>10</v>
      </c>
      <c r="E12" s="507"/>
      <c r="F12" s="51">
        <f t="shared" si="0"/>
        <v>0</v>
      </c>
    </row>
    <row r="13" spans="1:6" ht="15" thickBot="1">
      <c r="A13" s="155" t="s">
        <v>34</v>
      </c>
      <c r="B13" s="58" t="s">
        <v>12</v>
      </c>
      <c r="C13" s="59"/>
      <c r="D13" s="60"/>
      <c r="E13" s="98"/>
      <c r="F13" s="156">
        <f>SUM(F5:F12)</f>
        <v>0</v>
      </c>
    </row>
    <row r="14" spans="1:6" ht="15" thickBot="1">
      <c r="A14" s="120"/>
      <c r="B14" s="61"/>
      <c r="C14" s="62"/>
      <c r="D14" s="63"/>
      <c r="E14" s="99"/>
      <c r="F14" s="100"/>
    </row>
    <row r="15" spans="1:6" ht="15" thickBot="1">
      <c r="A15" s="121"/>
      <c r="B15" s="64" t="s">
        <v>35</v>
      </c>
      <c r="C15" s="65"/>
      <c r="D15" s="66"/>
      <c r="E15" s="101"/>
      <c r="F15" s="102"/>
    </row>
    <row r="16" spans="1:6" ht="51">
      <c r="A16" s="122"/>
      <c r="B16" s="67" t="s">
        <v>52</v>
      </c>
      <c r="C16" s="68"/>
      <c r="D16" s="69"/>
      <c r="E16" s="103"/>
      <c r="F16" s="104"/>
    </row>
    <row r="17" spans="1:6" ht="38.25">
      <c r="A17" s="118"/>
      <c r="B17" s="70" t="s">
        <v>25</v>
      </c>
      <c r="C17" s="49"/>
      <c r="D17" s="50"/>
      <c r="E17" s="56"/>
      <c r="F17" s="51"/>
    </row>
    <row r="18" spans="1:6" ht="38.25">
      <c r="A18" s="119" t="s">
        <v>54</v>
      </c>
      <c r="B18" s="48" t="s">
        <v>72</v>
      </c>
      <c r="C18" s="53" t="s">
        <v>47</v>
      </c>
      <c r="D18" s="50">
        <f>11.76+(180*0.2)</f>
        <v>47.76</v>
      </c>
      <c r="E18" s="507"/>
      <c r="F18" s="51">
        <f>D18*E18</f>
        <v>0</v>
      </c>
    </row>
    <row r="19" spans="1:6" ht="38.25">
      <c r="A19" s="119" t="s">
        <v>426</v>
      </c>
      <c r="B19" s="48" t="s">
        <v>427</v>
      </c>
      <c r="C19" s="53" t="s">
        <v>47</v>
      </c>
      <c r="D19" s="50">
        <f>180*0.8</f>
        <v>144</v>
      </c>
      <c r="E19" s="507"/>
      <c r="F19" s="51">
        <f>D19*E19</f>
        <v>0</v>
      </c>
    </row>
    <row r="20" spans="1:6" ht="25.5">
      <c r="A20" s="119" t="s">
        <v>55</v>
      </c>
      <c r="B20" s="183" t="s">
        <v>97</v>
      </c>
      <c r="C20" s="53" t="s">
        <v>47</v>
      </c>
      <c r="D20" s="50">
        <f>(70*3*0.3)+(25+15+825)*0.3</f>
        <v>322.5</v>
      </c>
      <c r="E20" s="507"/>
      <c r="F20" s="51">
        <f>D20*E20</f>
        <v>0</v>
      </c>
    </row>
    <row r="21" spans="1:6">
      <c r="A21" s="119" t="s">
        <v>56</v>
      </c>
      <c r="B21" s="48" t="s">
        <v>43</v>
      </c>
      <c r="C21" s="53" t="s">
        <v>47</v>
      </c>
      <c r="D21" s="50">
        <v>15</v>
      </c>
      <c r="E21" s="507"/>
      <c r="F21" s="51">
        <f>D21*E21</f>
        <v>0</v>
      </c>
    </row>
    <row r="22" spans="1:6" ht="38.25">
      <c r="A22" s="167" t="s">
        <v>57</v>
      </c>
      <c r="B22" s="191" t="s">
        <v>77</v>
      </c>
      <c r="C22" s="192"/>
      <c r="D22" s="193"/>
      <c r="E22" s="194"/>
      <c r="F22" s="195"/>
    </row>
    <row r="23" spans="1:6">
      <c r="A23" s="118"/>
      <c r="B23" s="196" t="s">
        <v>76</v>
      </c>
      <c r="C23" s="197" t="s">
        <v>47</v>
      </c>
      <c r="D23" s="198">
        <f>863*0.9</f>
        <v>776.7</v>
      </c>
      <c r="E23" s="518"/>
      <c r="F23" s="199">
        <f>D23*E23</f>
        <v>0</v>
      </c>
    </row>
    <row r="24" spans="1:6">
      <c r="A24" s="200"/>
      <c r="B24" s="201" t="s">
        <v>75</v>
      </c>
      <c r="C24" s="202" t="s">
        <v>47</v>
      </c>
      <c r="D24" s="203">
        <v>8.41</v>
      </c>
      <c r="E24" s="510"/>
      <c r="F24" s="204">
        <f>D24*E24</f>
        <v>0</v>
      </c>
    </row>
    <row r="25" spans="1:6" ht="38.25">
      <c r="A25" s="167" t="s">
        <v>58</v>
      </c>
      <c r="B25" s="191" t="s">
        <v>102</v>
      </c>
      <c r="C25" s="192"/>
      <c r="D25" s="193"/>
      <c r="E25" s="194"/>
      <c r="F25" s="195"/>
    </row>
    <row r="26" spans="1:6">
      <c r="A26" s="200"/>
      <c r="B26" s="201" t="s">
        <v>76</v>
      </c>
      <c r="C26" s="202" t="s">
        <v>47</v>
      </c>
      <c r="D26" s="203">
        <f>(787*0.9)*0.2+(865*0.25)</f>
        <v>357.91</v>
      </c>
      <c r="E26" s="510"/>
      <c r="F26" s="204">
        <f>D26*E26</f>
        <v>0</v>
      </c>
    </row>
    <row r="27" spans="1:6">
      <c r="A27" s="118"/>
      <c r="B27" s="196" t="s">
        <v>75</v>
      </c>
      <c r="C27" s="197" t="s">
        <v>47</v>
      </c>
      <c r="D27" s="198">
        <f>23.58*0.2</f>
        <v>4.7160000000000002</v>
      </c>
      <c r="E27" s="518"/>
      <c r="F27" s="199">
        <f>D27*E27</f>
        <v>0</v>
      </c>
    </row>
    <row r="28" spans="1:6" ht="25.5">
      <c r="A28" s="167" t="s">
        <v>423</v>
      </c>
      <c r="B28" s="191" t="s">
        <v>424</v>
      </c>
      <c r="C28" s="192"/>
      <c r="D28" s="193"/>
      <c r="E28" s="194"/>
      <c r="F28" s="195"/>
    </row>
    <row r="29" spans="1:6">
      <c r="A29" s="200"/>
      <c r="B29" s="201" t="s">
        <v>76</v>
      </c>
      <c r="C29" s="202" t="s">
        <v>47</v>
      </c>
      <c r="D29" s="203">
        <f>(787*0.9)*0.8</f>
        <v>566.6400000000001</v>
      </c>
      <c r="E29" s="510"/>
      <c r="F29" s="204">
        <f>D29*E29</f>
        <v>0</v>
      </c>
    </row>
    <row r="30" spans="1:6">
      <c r="A30" s="118"/>
      <c r="B30" s="196" t="s">
        <v>75</v>
      </c>
      <c r="C30" s="197" t="s">
        <v>47</v>
      </c>
      <c r="D30" s="198">
        <f>23.58*0.8</f>
        <v>18.864000000000001</v>
      </c>
      <c r="E30" s="518"/>
      <c r="F30" s="199">
        <f>D30*E30</f>
        <v>0</v>
      </c>
    </row>
    <row r="31" spans="1:6" ht="38.25">
      <c r="A31" s="124" t="s">
        <v>59</v>
      </c>
      <c r="B31" s="191" t="s">
        <v>78</v>
      </c>
      <c r="C31" s="53" t="s">
        <v>47</v>
      </c>
      <c r="D31" s="203">
        <f>(863*0.1)+(787*0.1)</f>
        <v>165</v>
      </c>
      <c r="E31" s="511"/>
      <c r="F31" s="71">
        <f>D31*E31</f>
        <v>0</v>
      </c>
    </row>
    <row r="32" spans="1:6" ht="38.25">
      <c r="A32" s="124" t="s">
        <v>60</v>
      </c>
      <c r="B32" s="231" t="s">
        <v>29</v>
      </c>
      <c r="C32" s="53" t="s">
        <v>48</v>
      </c>
      <c r="D32" s="50">
        <f>(212.33+213.22)*2*1.7</f>
        <v>1446.87</v>
      </c>
      <c r="E32" s="512"/>
      <c r="F32" s="71">
        <f t="shared" ref="F32:F50" si="1">D32*E32</f>
        <v>0</v>
      </c>
    </row>
    <row r="33" spans="1:7" ht="63.75">
      <c r="A33" s="124" t="s">
        <v>61</v>
      </c>
      <c r="B33" s="48" t="s">
        <v>73</v>
      </c>
      <c r="C33" s="53" t="s">
        <v>6</v>
      </c>
      <c r="D33" s="50">
        <v>24</v>
      </c>
      <c r="E33" s="512"/>
      <c r="F33" s="71">
        <f t="shared" si="1"/>
        <v>0</v>
      </c>
    </row>
    <row r="34" spans="1:7" ht="25.5">
      <c r="A34" s="119" t="s">
        <v>62</v>
      </c>
      <c r="B34" s="231" t="s">
        <v>44</v>
      </c>
      <c r="C34" s="55" t="s">
        <v>48</v>
      </c>
      <c r="D34" s="50">
        <f>(212.33+213.22)*0.9+(174.96+118.2)*0.8</f>
        <v>617.52300000000002</v>
      </c>
      <c r="E34" s="507"/>
      <c r="F34" s="71">
        <f t="shared" si="1"/>
        <v>0</v>
      </c>
    </row>
    <row r="35" spans="1:7" ht="51">
      <c r="A35" s="124" t="s">
        <v>63</v>
      </c>
      <c r="B35" s="183" t="s">
        <v>83</v>
      </c>
      <c r="C35" s="53" t="s">
        <v>47</v>
      </c>
      <c r="D35" s="50">
        <f>128.12*1.1</f>
        <v>140.93200000000002</v>
      </c>
      <c r="E35" s="507"/>
      <c r="F35" s="71">
        <f t="shared" si="1"/>
        <v>0</v>
      </c>
    </row>
    <row r="36" spans="1:7" ht="51">
      <c r="A36" s="119" t="s">
        <v>64</v>
      </c>
      <c r="B36" s="183" t="s">
        <v>84</v>
      </c>
      <c r="C36" s="53" t="s">
        <v>47</v>
      </c>
      <c r="D36" s="50">
        <f>244.84*1.1</f>
        <v>269.32400000000001</v>
      </c>
      <c r="E36" s="507"/>
      <c r="F36" s="71">
        <f t="shared" si="1"/>
        <v>0</v>
      </c>
    </row>
    <row r="37" spans="1:7" ht="76.5">
      <c r="A37" s="124" t="s">
        <v>65</v>
      </c>
      <c r="B37" s="48" t="s">
        <v>22</v>
      </c>
      <c r="C37" s="53" t="s">
        <v>47</v>
      </c>
      <c r="D37" s="50">
        <f>580+(660*0.2)</f>
        <v>712</v>
      </c>
      <c r="E37" s="507"/>
      <c r="F37" s="71">
        <f t="shared" si="1"/>
        <v>0</v>
      </c>
    </row>
    <row r="38" spans="1:7" ht="63.75">
      <c r="A38" s="124" t="s">
        <v>430</v>
      </c>
      <c r="B38" s="48" t="s">
        <v>452</v>
      </c>
      <c r="C38" s="53" t="s">
        <v>47</v>
      </c>
      <c r="D38" s="50">
        <f>660*0.8</f>
        <v>528</v>
      </c>
      <c r="E38" s="507"/>
      <c r="F38" s="71">
        <f t="shared" ref="F38" si="2">D38*E38</f>
        <v>0</v>
      </c>
    </row>
    <row r="39" spans="1:7" ht="38.25">
      <c r="A39" s="119" t="s">
        <v>66</v>
      </c>
      <c r="B39" s="186" t="s">
        <v>85</v>
      </c>
      <c r="C39" s="53" t="s">
        <v>47</v>
      </c>
      <c r="D39" s="50">
        <f>865*0.3*1.1</f>
        <v>285.45000000000005</v>
      </c>
      <c r="E39" s="507"/>
      <c r="F39" s="71">
        <f t="shared" si="1"/>
        <v>0</v>
      </c>
    </row>
    <row r="40" spans="1:7" ht="38.25">
      <c r="A40" s="124" t="s">
        <v>67</v>
      </c>
      <c r="B40" s="186" t="s">
        <v>96</v>
      </c>
      <c r="C40" s="53" t="s">
        <v>47</v>
      </c>
      <c r="D40" s="50">
        <f>865*0.25*1.1</f>
        <v>237.87500000000003</v>
      </c>
      <c r="E40" s="507"/>
      <c r="F40" s="71">
        <f t="shared" si="1"/>
        <v>0</v>
      </c>
    </row>
    <row r="41" spans="1:7" ht="38.25">
      <c r="A41" s="124" t="s">
        <v>68</v>
      </c>
      <c r="B41" s="186" t="s">
        <v>124</v>
      </c>
      <c r="C41" s="53" t="s">
        <v>47</v>
      </c>
      <c r="D41" s="50">
        <f>70*3*0.3</f>
        <v>63</v>
      </c>
      <c r="E41" s="507"/>
      <c r="F41" s="71">
        <f t="shared" si="1"/>
        <v>0</v>
      </c>
    </row>
    <row r="42" spans="1:7">
      <c r="A42" s="119" t="s">
        <v>69</v>
      </c>
      <c r="B42" s="72" t="s">
        <v>456</v>
      </c>
      <c r="C42" s="49" t="s">
        <v>9</v>
      </c>
      <c r="D42" s="50">
        <f>196*2+4+4</f>
        <v>400</v>
      </c>
      <c r="E42" s="507"/>
      <c r="F42" s="71">
        <f t="shared" si="1"/>
        <v>0</v>
      </c>
    </row>
    <row r="43" spans="1:7" ht="25.5">
      <c r="A43" s="119" t="s">
        <v>70</v>
      </c>
      <c r="B43" s="72" t="s">
        <v>45</v>
      </c>
      <c r="C43" s="49" t="s">
        <v>9</v>
      </c>
      <c r="D43" s="50">
        <v>720</v>
      </c>
      <c r="E43" s="507"/>
      <c r="F43" s="71">
        <f t="shared" si="1"/>
        <v>0</v>
      </c>
    </row>
    <row r="44" spans="1:7" ht="38.25">
      <c r="A44" s="124" t="s">
        <v>71</v>
      </c>
      <c r="B44" s="72" t="s">
        <v>453</v>
      </c>
      <c r="C44" s="53" t="s">
        <v>47</v>
      </c>
      <c r="D44" s="50">
        <f>((D10*0.1)+D20+D21+D23+D24+D26+D27+D29+D30-D37)*1.25</f>
        <v>1783.6062500000003</v>
      </c>
      <c r="E44" s="507"/>
      <c r="F44" s="71">
        <f t="shared" si="1"/>
        <v>0</v>
      </c>
    </row>
    <row r="45" spans="1:7" ht="25.5">
      <c r="A45" s="119" t="s">
        <v>79</v>
      </c>
      <c r="B45" s="48" t="s">
        <v>23</v>
      </c>
      <c r="C45" s="55" t="s">
        <v>48</v>
      </c>
      <c r="D45" s="50">
        <v>865</v>
      </c>
      <c r="E45" s="507"/>
      <c r="F45" s="71">
        <f t="shared" si="1"/>
        <v>0</v>
      </c>
    </row>
    <row r="46" spans="1:7">
      <c r="A46" s="119" t="s">
        <v>98</v>
      </c>
      <c r="B46" s="48" t="s">
        <v>127</v>
      </c>
      <c r="C46" s="55" t="s">
        <v>48</v>
      </c>
      <c r="D46" s="50">
        <f>70*3</f>
        <v>210</v>
      </c>
      <c r="E46" s="507"/>
      <c r="F46" s="71">
        <f t="shared" si="1"/>
        <v>0</v>
      </c>
    </row>
    <row r="47" spans="1:7" s="247" customFormat="1">
      <c r="A47" s="119" t="s">
        <v>105</v>
      </c>
      <c r="B47" s="231" t="s">
        <v>108</v>
      </c>
      <c r="C47" s="55" t="s">
        <v>48</v>
      </c>
      <c r="D47" s="50">
        <f>(D45+D46)*1.1</f>
        <v>1182.5</v>
      </c>
      <c r="E47" s="507"/>
      <c r="F47" s="71">
        <f t="shared" si="1"/>
        <v>0</v>
      </c>
      <c r="G47" s="40"/>
    </row>
    <row r="48" spans="1:7" ht="38.25">
      <c r="A48" s="124" t="s">
        <v>436</v>
      </c>
      <c r="B48" s="72" t="s">
        <v>86</v>
      </c>
      <c r="C48" s="53" t="s">
        <v>47</v>
      </c>
      <c r="D48" s="50">
        <f>D18</f>
        <v>47.76</v>
      </c>
      <c r="E48" s="507"/>
      <c r="F48" s="71">
        <f t="shared" si="1"/>
        <v>0</v>
      </c>
    </row>
    <row r="49" spans="1:7" ht="25.5">
      <c r="A49" s="124" t="s">
        <v>457</v>
      </c>
      <c r="B49" s="72" t="s">
        <v>428</v>
      </c>
      <c r="C49" s="53" t="s">
        <v>47</v>
      </c>
      <c r="D49" s="50">
        <f>D19</f>
        <v>144</v>
      </c>
      <c r="E49" s="507"/>
      <c r="F49" s="71">
        <f t="shared" ref="F49" si="3">D49*E49</f>
        <v>0</v>
      </c>
    </row>
    <row r="50" spans="1:7" ht="26.25" thickBot="1">
      <c r="A50" s="124" t="s">
        <v>458</v>
      </c>
      <c r="B50" s="233" t="s">
        <v>74</v>
      </c>
      <c r="C50" s="53" t="s">
        <v>48</v>
      </c>
      <c r="D50" s="50">
        <f>(D48+D49)/0.2</f>
        <v>958.8</v>
      </c>
      <c r="E50" s="507"/>
      <c r="F50" s="71">
        <f t="shared" si="1"/>
        <v>0</v>
      </c>
    </row>
    <row r="51" spans="1:7" ht="15" thickBot="1">
      <c r="A51" s="164" t="s">
        <v>36</v>
      </c>
      <c r="B51" s="165" t="s">
        <v>11</v>
      </c>
      <c r="C51" s="74"/>
      <c r="D51" s="75"/>
      <c r="E51" s="105"/>
      <c r="F51" s="166">
        <f>SUM(F18:F50)</f>
        <v>0</v>
      </c>
      <c r="G51" s="37"/>
    </row>
    <row r="52" spans="1:7" ht="15" thickBot="1">
      <c r="A52" s="120"/>
      <c r="B52" s="76"/>
      <c r="C52" s="77"/>
      <c r="D52" s="78"/>
      <c r="E52" s="106"/>
      <c r="F52" s="99"/>
      <c r="G52" s="37"/>
    </row>
    <row r="53" spans="1:7" ht="15" thickBot="1">
      <c r="A53" s="125"/>
      <c r="B53" s="79" t="s">
        <v>37</v>
      </c>
      <c r="C53" s="80"/>
      <c r="D53" s="81"/>
      <c r="E53" s="107"/>
      <c r="F53" s="108"/>
      <c r="G53" s="37"/>
    </row>
    <row r="54" spans="1:7" ht="63.75">
      <c r="A54" s="122"/>
      <c r="B54" s="82" t="s">
        <v>24</v>
      </c>
      <c r="C54" s="45"/>
      <c r="D54" s="46"/>
      <c r="E54" s="97"/>
      <c r="F54" s="47"/>
      <c r="G54" s="37"/>
    </row>
    <row r="55" spans="1:7" ht="76.5">
      <c r="A55" s="123">
        <v>1</v>
      </c>
      <c r="B55" s="72" t="s">
        <v>94</v>
      </c>
      <c r="C55" s="57" t="s">
        <v>9</v>
      </c>
      <c r="D55" s="114">
        <v>740</v>
      </c>
      <c r="E55" s="513"/>
      <c r="F55" s="73">
        <f t="shared" ref="F55:F57" si="4">D55*E55</f>
        <v>0</v>
      </c>
      <c r="G55" s="37"/>
    </row>
    <row r="56" spans="1:7">
      <c r="A56" s="181"/>
      <c r="B56" s="171" t="s">
        <v>121</v>
      </c>
      <c r="C56" s="172" t="s">
        <v>6</v>
      </c>
      <c r="D56" s="469">
        <v>48</v>
      </c>
      <c r="E56" s="513"/>
      <c r="F56" s="73">
        <f t="shared" si="4"/>
        <v>0</v>
      </c>
      <c r="G56" s="37"/>
    </row>
    <row r="57" spans="1:7">
      <c r="A57" s="123"/>
      <c r="B57" s="233" t="s">
        <v>122</v>
      </c>
      <c r="C57" s="57" t="s">
        <v>6</v>
      </c>
      <c r="D57" s="114">
        <v>2</v>
      </c>
      <c r="E57" s="513"/>
      <c r="F57" s="73">
        <f t="shared" si="4"/>
        <v>0</v>
      </c>
      <c r="G57" s="37"/>
    </row>
    <row r="58" spans="1:7" ht="191.25">
      <c r="A58" s="174" t="s">
        <v>55</v>
      </c>
      <c r="B58" s="251" t="s">
        <v>95</v>
      </c>
      <c r="C58" s="175"/>
      <c r="D58" s="176"/>
      <c r="E58" s="177"/>
      <c r="F58" s="178"/>
      <c r="G58" s="37"/>
    </row>
    <row r="59" spans="1:7">
      <c r="A59" s="181"/>
      <c r="B59" s="171" t="s">
        <v>30</v>
      </c>
      <c r="C59" s="172" t="s">
        <v>6</v>
      </c>
      <c r="D59" s="173">
        <v>24</v>
      </c>
      <c r="E59" s="514"/>
      <c r="F59" s="182">
        <f t="shared" ref="F59" si="5">D59*E59</f>
        <v>0</v>
      </c>
      <c r="G59" s="37"/>
    </row>
    <row r="60" spans="1:7">
      <c r="A60" s="181"/>
      <c r="B60" s="171" t="s">
        <v>31</v>
      </c>
      <c r="C60" s="172" t="s">
        <v>6</v>
      </c>
      <c r="D60" s="173">
        <v>1</v>
      </c>
      <c r="E60" s="514"/>
      <c r="F60" s="182">
        <f t="shared" ref="F60" si="6">D60*E60</f>
        <v>0</v>
      </c>
      <c r="G60" s="37"/>
    </row>
    <row r="61" spans="1:7">
      <c r="A61" s="181"/>
      <c r="B61" s="171" t="s">
        <v>429</v>
      </c>
      <c r="C61" s="172" t="s">
        <v>6</v>
      </c>
      <c r="D61" s="173">
        <v>4</v>
      </c>
      <c r="E61" s="514"/>
      <c r="F61" s="182">
        <f t="shared" ref="F61:F67" si="7">D61*E61</f>
        <v>0</v>
      </c>
      <c r="G61" s="37"/>
    </row>
    <row r="62" spans="1:7" ht="51">
      <c r="A62" s="123" t="s">
        <v>56</v>
      </c>
      <c r="B62" s="72" t="s">
        <v>103</v>
      </c>
      <c r="C62" s="49" t="s">
        <v>6</v>
      </c>
      <c r="D62" s="50">
        <v>1</v>
      </c>
      <c r="E62" s="507"/>
      <c r="F62" s="73">
        <f t="shared" si="7"/>
        <v>0</v>
      </c>
      <c r="G62" s="37"/>
    </row>
    <row r="63" spans="1:7" ht="102">
      <c r="A63" s="123" t="s">
        <v>57</v>
      </c>
      <c r="B63" s="231" t="s">
        <v>87</v>
      </c>
      <c r="C63" s="49" t="s">
        <v>6</v>
      </c>
      <c r="D63" s="50">
        <v>14</v>
      </c>
      <c r="E63" s="512"/>
      <c r="F63" s="73">
        <f t="shared" si="7"/>
        <v>0</v>
      </c>
      <c r="G63" s="37"/>
    </row>
    <row r="64" spans="1:7" ht="51">
      <c r="A64" s="123" t="s">
        <v>58</v>
      </c>
      <c r="B64" s="48" t="s">
        <v>88</v>
      </c>
      <c r="C64" s="49" t="s">
        <v>6</v>
      </c>
      <c r="D64" s="50">
        <v>14</v>
      </c>
      <c r="E64" s="512"/>
      <c r="F64" s="73">
        <f t="shared" si="7"/>
        <v>0</v>
      </c>
      <c r="G64" s="37"/>
    </row>
    <row r="65" spans="1:45" ht="38.25">
      <c r="A65" s="123" t="s">
        <v>59</v>
      </c>
      <c r="B65" s="188" t="s">
        <v>89</v>
      </c>
      <c r="C65" s="49" t="s">
        <v>6</v>
      </c>
      <c r="D65" s="189">
        <v>12</v>
      </c>
      <c r="E65" s="508"/>
      <c r="F65" s="73">
        <f t="shared" si="7"/>
        <v>0</v>
      </c>
    </row>
    <row r="66" spans="1:45" ht="89.25">
      <c r="A66" s="123" t="s">
        <v>60</v>
      </c>
      <c r="B66" s="231" t="s">
        <v>80</v>
      </c>
      <c r="C66" s="49" t="s">
        <v>9</v>
      </c>
      <c r="D66" s="50">
        <f>14*8</f>
        <v>112</v>
      </c>
      <c r="E66" s="512"/>
      <c r="F66" s="73">
        <f t="shared" si="7"/>
        <v>0</v>
      </c>
    </row>
    <row r="67" spans="1:45" ht="15" thickBot="1">
      <c r="A67" s="179"/>
      <c r="B67" s="168" t="s">
        <v>106</v>
      </c>
      <c r="C67" s="169" t="s">
        <v>6</v>
      </c>
      <c r="D67" s="170">
        <v>14</v>
      </c>
      <c r="E67" s="515"/>
      <c r="F67" s="180">
        <f t="shared" si="7"/>
        <v>0</v>
      </c>
    </row>
    <row r="68" spans="1:45" ht="15" thickBot="1">
      <c r="A68" s="161" t="s">
        <v>38</v>
      </c>
      <c r="B68" s="163" t="s">
        <v>26</v>
      </c>
      <c r="C68" s="83"/>
      <c r="D68" s="84"/>
      <c r="E68" s="109"/>
      <c r="F68" s="162">
        <f>SUM(F55:F67)</f>
        <v>0</v>
      </c>
    </row>
    <row r="69" spans="1:45" ht="15" thickBot="1">
      <c r="A69" s="120"/>
      <c r="B69" s="61"/>
      <c r="C69" s="62"/>
      <c r="D69" s="63"/>
      <c r="E69" s="99"/>
      <c r="F69" s="99"/>
    </row>
    <row r="70" spans="1:45" ht="15" thickBot="1">
      <c r="A70" s="121"/>
      <c r="B70" s="85" t="s">
        <v>39</v>
      </c>
      <c r="C70" s="86"/>
      <c r="D70" s="87"/>
      <c r="E70" s="110"/>
      <c r="F70" s="111"/>
    </row>
    <row r="71" spans="1:45" ht="63.75">
      <c r="A71" s="118"/>
      <c r="B71" s="67" t="s">
        <v>8</v>
      </c>
      <c r="C71" s="68"/>
      <c r="D71" s="69"/>
      <c r="E71" s="103"/>
      <c r="F71" s="104"/>
    </row>
    <row r="72" spans="1:45" ht="25.5">
      <c r="A72" s="119" t="s">
        <v>54</v>
      </c>
      <c r="B72" s="88" t="s">
        <v>42</v>
      </c>
      <c r="C72" s="55" t="s">
        <v>9</v>
      </c>
      <c r="D72" s="115">
        <v>720</v>
      </c>
      <c r="E72" s="516"/>
      <c r="F72" s="51">
        <f t="shared" ref="F72:F79" si="8">D72*E72</f>
        <v>0</v>
      </c>
    </row>
    <row r="73" spans="1:45" ht="25.5">
      <c r="A73" s="119" t="s">
        <v>55</v>
      </c>
      <c r="B73" s="88" t="s">
        <v>100</v>
      </c>
      <c r="C73" s="55" t="s">
        <v>9</v>
      </c>
      <c r="D73" s="115">
        <v>720</v>
      </c>
      <c r="E73" s="516"/>
      <c r="F73" s="51">
        <f>D73*E73</f>
        <v>0</v>
      </c>
    </row>
    <row r="74" spans="1:45">
      <c r="A74" s="119" t="s">
        <v>56</v>
      </c>
      <c r="B74" s="88" t="s">
        <v>101</v>
      </c>
      <c r="C74" s="55" t="s">
        <v>9</v>
      </c>
      <c r="D74" s="115">
        <v>720</v>
      </c>
      <c r="E74" s="516"/>
      <c r="F74" s="51">
        <f>D74*E74</f>
        <v>0</v>
      </c>
    </row>
    <row r="75" spans="1:45" ht="25.5">
      <c r="A75" s="119" t="s">
        <v>57</v>
      </c>
      <c r="B75" s="240" t="s">
        <v>109</v>
      </c>
      <c r="C75" s="49" t="s">
        <v>48</v>
      </c>
      <c r="D75" s="50">
        <v>681.45</v>
      </c>
      <c r="E75" s="517"/>
      <c r="F75" s="51">
        <f>D75*E75</f>
        <v>0</v>
      </c>
    </row>
    <row r="76" spans="1:45" ht="25.5">
      <c r="A76" s="123" t="s">
        <v>58</v>
      </c>
      <c r="B76" s="187" t="s">
        <v>110</v>
      </c>
      <c r="C76" s="49" t="s">
        <v>48</v>
      </c>
      <c r="D76" s="50">
        <f>D75</f>
        <v>681.45</v>
      </c>
      <c r="E76" s="517"/>
      <c r="F76" s="51">
        <f t="shared" si="8"/>
        <v>0</v>
      </c>
    </row>
    <row r="77" spans="1:45" ht="25.5">
      <c r="A77" s="119" t="s">
        <v>59</v>
      </c>
      <c r="B77" s="52" t="s">
        <v>91</v>
      </c>
      <c r="C77" s="49" t="s">
        <v>47</v>
      </c>
      <c r="D77" s="50">
        <v>10</v>
      </c>
      <c r="E77" s="507"/>
      <c r="F77" s="51">
        <f t="shared" si="8"/>
        <v>0</v>
      </c>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239"/>
      <c r="AP77" s="239"/>
      <c r="AQ77" s="239"/>
      <c r="AR77" s="239"/>
      <c r="AS77" s="239"/>
    </row>
    <row r="78" spans="1:45" ht="51">
      <c r="A78" s="119" t="s">
        <v>60</v>
      </c>
      <c r="B78" s="52" t="s">
        <v>438</v>
      </c>
      <c r="C78" s="49" t="s">
        <v>48</v>
      </c>
      <c r="D78" s="50">
        <v>20</v>
      </c>
      <c r="E78" s="507"/>
      <c r="F78" s="51">
        <f t="shared" si="8"/>
        <v>0</v>
      </c>
    </row>
    <row r="79" spans="1:45" ht="51">
      <c r="A79" s="119" t="s">
        <v>61</v>
      </c>
      <c r="B79" s="52" t="s">
        <v>21</v>
      </c>
      <c r="C79" s="49" t="s">
        <v>6</v>
      </c>
      <c r="D79" s="50">
        <v>10</v>
      </c>
      <c r="E79" s="507"/>
      <c r="F79" s="51">
        <f t="shared" si="8"/>
        <v>0</v>
      </c>
    </row>
    <row r="80" spans="1:45" s="205" customFormat="1" ht="51">
      <c r="A80" s="119" t="s">
        <v>62</v>
      </c>
      <c r="B80" s="52" t="s">
        <v>93</v>
      </c>
      <c r="C80" s="49" t="s">
        <v>6</v>
      </c>
      <c r="D80" s="50">
        <v>2</v>
      </c>
      <c r="E80" s="507"/>
      <c r="F80" s="51">
        <f>D80*E80</f>
        <v>0</v>
      </c>
      <c r="G80" s="91"/>
    </row>
    <row r="81" spans="1:7" s="205" customFormat="1" ht="39" thickBot="1">
      <c r="A81" s="119" t="s">
        <v>63</v>
      </c>
      <c r="B81" s="52" t="s">
        <v>123</v>
      </c>
      <c r="C81" s="49" t="s">
        <v>6</v>
      </c>
      <c r="D81" s="50">
        <v>1</v>
      </c>
      <c r="E81" s="507"/>
      <c r="F81" s="51">
        <f>D81*E81</f>
        <v>0</v>
      </c>
      <c r="G81" s="91"/>
    </row>
    <row r="82" spans="1:7" ht="15" thickBot="1">
      <c r="A82" s="158" t="s">
        <v>40</v>
      </c>
      <c r="B82" s="159" t="s">
        <v>10</v>
      </c>
      <c r="C82" s="89"/>
      <c r="D82" s="90"/>
      <c r="E82" s="112"/>
      <c r="F82" s="160">
        <f>SUM(F72:F81)</f>
        <v>0</v>
      </c>
      <c r="G82" s="37"/>
    </row>
    <row r="83" spans="1:7" ht="15" thickBot="1">
      <c r="G83" s="37"/>
    </row>
    <row r="84" spans="1:7" ht="15" thickBot="1">
      <c r="A84" s="224"/>
      <c r="B84" s="225" t="s">
        <v>425</v>
      </c>
      <c r="C84" s="226"/>
      <c r="D84" s="227"/>
      <c r="E84" s="228"/>
      <c r="F84" s="229">
        <f>F13+F51+F68+F82</f>
        <v>0</v>
      </c>
      <c r="G84" s="37"/>
    </row>
    <row r="86" spans="1:7">
      <c r="G86" s="37"/>
    </row>
  </sheetData>
  <sheetProtection algorithmName="SHA-512" hashValue="W/vm/6roYzmrT/gw28fh6x/Vo85j+HFggz5FAtBO7waYXBPNG7FvnBhvk/ox+KyugIKW0vyrUdaMqAaV5wBitg==" saltValue="USIANsubXg5gsYFn85u7OA==" spinCount="100000" sheet="1" objects="1" scenarios="1"/>
  <pageMargins left="0.70866141732283472" right="0.70866141732283472" top="0.74803149606299213" bottom="0.74803149606299213" header="0.31496062992125984" footer="0.31496062992125984"/>
  <pageSetup paperSize="9" orientation="portrait" r:id="rId1"/>
  <headerFooter>
    <oddHeader>&amp;LSAVINJAPROJEKT d.o.o.&amp;RŠt. projekta: 68/2018</oddHeader>
    <oddFooter>&amp;C&amp;P</oddFooter>
  </headerFooter>
  <rowBreaks count="2" manualBreakCount="2">
    <brk id="27" max="5" man="1"/>
    <brk id="68" max="16383" man="1"/>
  </rowBreaks>
  <ignoredErrors>
    <ignoredError sqref="A72:A81 A58:A66 A31:A4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S68"/>
  <sheetViews>
    <sheetView view="pageBreakPreview" topLeftCell="A49" zoomScale="80" zoomScaleNormal="100" zoomScaleSheetLayoutView="80" workbookViewId="0">
      <selection activeCell="E61" sqref="E61:E65"/>
    </sheetView>
  </sheetViews>
  <sheetFormatPr defaultRowHeight="14.25"/>
  <cols>
    <col min="1" max="1" width="4.85546875" style="126" bestFit="1" customWidth="1"/>
    <col min="2" max="2" width="45.42578125" style="91" customWidth="1"/>
    <col min="3" max="3" width="6.5703125" style="92" bestFit="1" customWidth="1"/>
    <col min="4" max="4" width="8.7109375" style="93" customWidth="1"/>
    <col min="5" max="5" width="10.7109375" style="113" customWidth="1"/>
    <col min="6" max="6" width="12.7109375" style="113" customWidth="1"/>
    <col min="7" max="7" width="9.140625" style="40"/>
    <col min="8" max="16384" width="9.140625" style="37"/>
  </cols>
  <sheetData>
    <row r="1" spans="1:6" s="238" customFormat="1" ht="18">
      <c r="A1" s="250" t="s">
        <v>120</v>
      </c>
      <c r="B1" s="234" t="s">
        <v>448</v>
      </c>
      <c r="C1" s="235"/>
      <c r="D1" s="236"/>
      <c r="E1" s="237"/>
      <c r="F1" s="237"/>
    </row>
    <row r="2" spans="1:6" ht="15" thickBot="1"/>
    <row r="3" spans="1:6" ht="26.25" thickBot="1">
      <c r="A3" s="116" t="s">
        <v>0</v>
      </c>
      <c r="B3" s="38" t="s">
        <v>1</v>
      </c>
      <c r="C3" s="38" t="s">
        <v>2</v>
      </c>
      <c r="D3" s="39" t="s">
        <v>3</v>
      </c>
      <c r="E3" s="206" t="s">
        <v>4</v>
      </c>
      <c r="F3" s="94" t="s">
        <v>5</v>
      </c>
    </row>
    <row r="4" spans="1:6" ht="15" thickBot="1">
      <c r="A4" s="117"/>
      <c r="B4" s="41" t="s">
        <v>33</v>
      </c>
      <c r="C4" s="42"/>
      <c r="D4" s="43"/>
      <c r="E4" s="95"/>
      <c r="F4" s="96"/>
    </row>
    <row r="5" spans="1:6" ht="25.5">
      <c r="A5" s="232">
        <v>1</v>
      </c>
      <c r="B5" s="48" t="s">
        <v>46</v>
      </c>
      <c r="C5" s="49" t="s">
        <v>9</v>
      </c>
      <c r="D5" s="50">
        <v>75</v>
      </c>
      <c r="E5" s="507"/>
      <c r="F5" s="51">
        <f t="shared" ref="F5:F10" si="0">D5*E5</f>
        <v>0</v>
      </c>
    </row>
    <row r="6" spans="1:6" ht="25.5">
      <c r="A6" s="119" t="s">
        <v>55</v>
      </c>
      <c r="B6" s="52" t="s">
        <v>28</v>
      </c>
      <c r="C6" s="49" t="s">
        <v>6</v>
      </c>
      <c r="D6" s="50">
        <f>1+4+2</f>
        <v>7</v>
      </c>
      <c r="E6" s="507"/>
      <c r="F6" s="51">
        <f t="shared" si="0"/>
        <v>0</v>
      </c>
    </row>
    <row r="7" spans="1:6" ht="38.25">
      <c r="A7" s="118" t="s">
        <v>56</v>
      </c>
      <c r="B7" s="48" t="s">
        <v>82</v>
      </c>
      <c r="C7" s="53" t="s">
        <v>47</v>
      </c>
      <c r="D7" s="50">
        <v>3</v>
      </c>
      <c r="E7" s="507"/>
      <c r="F7" s="51">
        <f t="shared" si="0"/>
        <v>0</v>
      </c>
    </row>
    <row r="8" spans="1:6" ht="38.25">
      <c r="A8" s="119" t="s">
        <v>57</v>
      </c>
      <c r="B8" s="54" t="s">
        <v>111</v>
      </c>
      <c r="C8" s="49" t="s">
        <v>9</v>
      </c>
      <c r="D8" s="50">
        <v>16</v>
      </c>
      <c r="E8" s="507"/>
      <c r="F8" s="51">
        <f t="shared" si="0"/>
        <v>0</v>
      </c>
    </row>
    <row r="9" spans="1:6" ht="38.25">
      <c r="A9" s="118" t="s">
        <v>58</v>
      </c>
      <c r="B9" s="48" t="s">
        <v>53</v>
      </c>
      <c r="C9" s="55" t="s">
        <v>48</v>
      </c>
      <c r="D9" s="50">
        <v>20</v>
      </c>
      <c r="E9" s="507"/>
      <c r="F9" s="51">
        <f t="shared" si="0"/>
        <v>0</v>
      </c>
    </row>
    <row r="10" spans="1:6" ht="38.25">
      <c r="A10" s="118" t="s">
        <v>59</v>
      </c>
      <c r="B10" s="248" t="s">
        <v>449</v>
      </c>
      <c r="C10" s="184" t="s">
        <v>9</v>
      </c>
      <c r="D10" s="185">
        <v>6</v>
      </c>
      <c r="E10" s="509"/>
      <c r="F10" s="451">
        <f t="shared" si="0"/>
        <v>0</v>
      </c>
    </row>
    <row r="11" spans="1:6" ht="15" thickBot="1">
      <c r="A11" s="122"/>
      <c r="B11" s="459"/>
      <c r="C11" s="460"/>
      <c r="D11" s="461"/>
      <c r="E11" s="462"/>
      <c r="F11" s="463"/>
    </row>
    <row r="12" spans="1:6" ht="15" thickBot="1">
      <c r="A12" s="155" t="s">
        <v>34</v>
      </c>
      <c r="B12" s="58" t="s">
        <v>12</v>
      </c>
      <c r="C12" s="59"/>
      <c r="D12" s="60"/>
      <c r="E12" s="98"/>
      <c r="F12" s="156">
        <f>SUM(F5:F10)</f>
        <v>0</v>
      </c>
    </row>
    <row r="13" spans="1:6" ht="15" thickBot="1">
      <c r="A13" s="120"/>
      <c r="B13" s="61"/>
      <c r="C13" s="62"/>
      <c r="D13" s="63"/>
      <c r="E13" s="99"/>
      <c r="F13" s="100"/>
    </row>
    <row r="14" spans="1:6" ht="15" thickBot="1">
      <c r="A14" s="121"/>
      <c r="B14" s="64" t="s">
        <v>35</v>
      </c>
      <c r="C14" s="65"/>
      <c r="D14" s="66"/>
      <c r="E14" s="101"/>
      <c r="F14" s="102"/>
    </row>
    <row r="15" spans="1:6" ht="63.75">
      <c r="A15" s="122"/>
      <c r="B15" s="67" t="s">
        <v>52</v>
      </c>
      <c r="C15" s="68"/>
      <c r="D15" s="69"/>
      <c r="E15" s="103"/>
      <c r="F15" s="104"/>
    </row>
    <row r="16" spans="1:6" ht="38.25">
      <c r="A16" s="118"/>
      <c r="B16" s="70" t="s">
        <v>25</v>
      </c>
      <c r="C16" s="49"/>
      <c r="D16" s="50"/>
      <c r="E16" s="56"/>
      <c r="F16" s="51"/>
    </row>
    <row r="17" spans="1:6" ht="38.25">
      <c r="A17" s="119" t="s">
        <v>54</v>
      </c>
      <c r="B17" s="48" t="s">
        <v>72</v>
      </c>
      <c r="C17" s="53" t="s">
        <v>47</v>
      </c>
      <c r="D17" s="50">
        <f>45*3*0.2</f>
        <v>27</v>
      </c>
      <c r="E17" s="507"/>
      <c r="F17" s="51">
        <f>D17*E17</f>
        <v>0</v>
      </c>
    </row>
    <row r="18" spans="1:6" ht="25.5">
      <c r="A18" s="119" t="s">
        <v>55</v>
      </c>
      <c r="B18" s="183" t="s">
        <v>97</v>
      </c>
      <c r="C18" s="53" t="s">
        <v>47</v>
      </c>
      <c r="D18" s="50">
        <f>20*0.3</f>
        <v>6</v>
      </c>
      <c r="E18" s="507"/>
      <c r="F18" s="51">
        <f>D18*E18</f>
        <v>0</v>
      </c>
    </row>
    <row r="19" spans="1:6">
      <c r="A19" s="119" t="s">
        <v>56</v>
      </c>
      <c r="B19" s="48" t="s">
        <v>43</v>
      </c>
      <c r="C19" s="53" t="s">
        <v>47</v>
      </c>
      <c r="D19" s="50">
        <v>5</v>
      </c>
      <c r="E19" s="507"/>
      <c r="F19" s="51">
        <f>D19*E19</f>
        <v>0</v>
      </c>
    </row>
    <row r="20" spans="1:6" ht="38.25">
      <c r="A20" s="167" t="s">
        <v>57</v>
      </c>
      <c r="B20" s="191" t="s">
        <v>77</v>
      </c>
      <c r="C20" s="192"/>
      <c r="D20" s="193"/>
      <c r="E20" s="194"/>
      <c r="F20" s="195"/>
    </row>
    <row r="21" spans="1:6">
      <c r="A21" s="200"/>
      <c r="B21" s="201" t="s">
        <v>76</v>
      </c>
      <c r="C21" s="202" t="s">
        <v>47</v>
      </c>
      <c r="D21" s="203">
        <f>131.1*0.9</f>
        <v>117.99</v>
      </c>
      <c r="E21" s="510"/>
      <c r="F21" s="204">
        <f>D21*E21</f>
        <v>0</v>
      </c>
    </row>
    <row r="22" spans="1:6" ht="38.25">
      <c r="A22" s="167" t="s">
        <v>58</v>
      </c>
      <c r="B22" s="191" t="s">
        <v>102</v>
      </c>
      <c r="C22" s="192"/>
      <c r="D22" s="193"/>
      <c r="E22" s="194"/>
      <c r="F22" s="195"/>
    </row>
    <row r="23" spans="1:6">
      <c r="A23" s="200"/>
      <c r="B23" s="201" t="s">
        <v>76</v>
      </c>
      <c r="C23" s="202" t="s">
        <v>47</v>
      </c>
      <c r="D23" s="203">
        <f>20*0.25</f>
        <v>5</v>
      </c>
      <c r="E23" s="510"/>
      <c r="F23" s="204">
        <f>D23*E23</f>
        <v>0</v>
      </c>
    </row>
    <row r="24" spans="1:6" ht="38.25">
      <c r="A24" s="124" t="s">
        <v>59</v>
      </c>
      <c r="B24" s="191" t="s">
        <v>78</v>
      </c>
      <c r="C24" s="53" t="s">
        <v>47</v>
      </c>
      <c r="D24" s="203">
        <f>131.1*0.1</f>
        <v>13.11</v>
      </c>
      <c r="E24" s="511"/>
      <c r="F24" s="71">
        <f>D24*E24</f>
        <v>0</v>
      </c>
    </row>
    <row r="25" spans="1:6" ht="38.25">
      <c r="A25" s="124" t="s">
        <v>60</v>
      </c>
      <c r="B25" s="231" t="s">
        <v>29</v>
      </c>
      <c r="C25" s="53" t="s">
        <v>48</v>
      </c>
      <c r="D25" s="50">
        <f>75*2*1.6</f>
        <v>240</v>
      </c>
      <c r="E25" s="512"/>
      <c r="F25" s="71">
        <f t="shared" ref="F25:F38" si="1">D25*E25</f>
        <v>0</v>
      </c>
    </row>
    <row r="26" spans="1:6" ht="63.75">
      <c r="A26" s="124" t="s">
        <v>61</v>
      </c>
      <c r="B26" s="48" t="s">
        <v>73</v>
      </c>
      <c r="C26" s="53" t="s">
        <v>6</v>
      </c>
      <c r="D26" s="50">
        <v>4</v>
      </c>
      <c r="E26" s="512"/>
      <c r="F26" s="71">
        <f t="shared" si="1"/>
        <v>0</v>
      </c>
    </row>
    <row r="27" spans="1:6" ht="38.25">
      <c r="A27" s="119" t="s">
        <v>62</v>
      </c>
      <c r="B27" s="231" t="s">
        <v>44</v>
      </c>
      <c r="C27" s="55" t="s">
        <v>48</v>
      </c>
      <c r="D27" s="50">
        <f>75*0.9</f>
        <v>67.5</v>
      </c>
      <c r="E27" s="507"/>
      <c r="F27" s="71">
        <f t="shared" si="1"/>
        <v>0</v>
      </c>
    </row>
    <row r="28" spans="1:6" ht="51">
      <c r="A28" s="124" t="s">
        <v>63</v>
      </c>
      <c r="B28" s="183" t="s">
        <v>83</v>
      </c>
      <c r="C28" s="53" t="s">
        <v>47</v>
      </c>
      <c r="D28" s="50">
        <f>14.27*1.1</f>
        <v>15.697000000000001</v>
      </c>
      <c r="E28" s="507"/>
      <c r="F28" s="71">
        <f t="shared" si="1"/>
        <v>0</v>
      </c>
    </row>
    <row r="29" spans="1:6" ht="63.75">
      <c r="A29" s="119" t="s">
        <v>64</v>
      </c>
      <c r="B29" s="183" t="s">
        <v>84</v>
      </c>
      <c r="C29" s="53" t="s">
        <v>47</v>
      </c>
      <c r="D29" s="50">
        <f>25.04*1.1</f>
        <v>27.544</v>
      </c>
      <c r="E29" s="507"/>
      <c r="F29" s="71">
        <f t="shared" si="1"/>
        <v>0</v>
      </c>
    </row>
    <row r="30" spans="1:6" ht="76.5">
      <c r="A30" s="124" t="s">
        <v>65</v>
      </c>
      <c r="B30" s="48" t="s">
        <v>22</v>
      </c>
      <c r="C30" s="53" t="s">
        <v>47</v>
      </c>
      <c r="D30" s="50">
        <v>86.23</v>
      </c>
      <c r="E30" s="507"/>
      <c r="F30" s="71">
        <f t="shared" si="1"/>
        <v>0</v>
      </c>
    </row>
    <row r="31" spans="1:6" ht="38.25">
      <c r="A31" s="119" t="s">
        <v>66</v>
      </c>
      <c r="B31" s="186" t="s">
        <v>85</v>
      </c>
      <c r="C31" s="53" t="s">
        <v>47</v>
      </c>
      <c r="D31" s="50">
        <f>20*0.3*1.1</f>
        <v>6.6000000000000005</v>
      </c>
      <c r="E31" s="507"/>
      <c r="F31" s="71">
        <f t="shared" si="1"/>
        <v>0</v>
      </c>
    </row>
    <row r="32" spans="1:6" ht="38.25">
      <c r="A32" s="124" t="s">
        <v>67</v>
      </c>
      <c r="B32" s="186" t="s">
        <v>96</v>
      </c>
      <c r="C32" s="53" t="s">
        <v>47</v>
      </c>
      <c r="D32" s="50">
        <f>20*0.25*1.1</f>
        <v>5.5</v>
      </c>
      <c r="E32" s="507"/>
      <c r="F32" s="71">
        <f t="shared" si="1"/>
        <v>0</v>
      </c>
    </row>
    <row r="33" spans="1:7" ht="25.5">
      <c r="A33" s="119" t="s">
        <v>69</v>
      </c>
      <c r="B33" s="72" t="s">
        <v>45</v>
      </c>
      <c r="C33" s="49" t="s">
        <v>9</v>
      </c>
      <c r="D33" s="50">
        <v>75</v>
      </c>
      <c r="E33" s="507"/>
      <c r="F33" s="71">
        <f t="shared" si="1"/>
        <v>0</v>
      </c>
    </row>
    <row r="34" spans="1:7" ht="38.25">
      <c r="A34" s="124" t="s">
        <v>70</v>
      </c>
      <c r="B34" s="72" t="s">
        <v>450</v>
      </c>
      <c r="C34" s="53" t="s">
        <v>47</v>
      </c>
      <c r="D34" s="50">
        <f>((D9*0.1)+D18+D19+D21+D23-D30)*1.25</f>
        <v>62.2</v>
      </c>
      <c r="E34" s="507"/>
      <c r="F34" s="71">
        <f t="shared" si="1"/>
        <v>0</v>
      </c>
    </row>
    <row r="35" spans="1:7" ht="25.5">
      <c r="A35" s="119" t="s">
        <v>71</v>
      </c>
      <c r="B35" s="48" t="s">
        <v>23</v>
      </c>
      <c r="C35" s="55" t="s">
        <v>48</v>
      </c>
      <c r="D35" s="50">
        <v>20</v>
      </c>
      <c r="E35" s="507"/>
      <c r="F35" s="71">
        <f t="shared" si="1"/>
        <v>0</v>
      </c>
    </row>
    <row r="36" spans="1:7" s="247" customFormat="1">
      <c r="A36" s="119" t="s">
        <v>98</v>
      </c>
      <c r="B36" s="231" t="s">
        <v>108</v>
      </c>
      <c r="C36" s="55" t="s">
        <v>48</v>
      </c>
      <c r="D36" s="50">
        <f>D35*1.1</f>
        <v>22</v>
      </c>
      <c r="E36" s="507"/>
      <c r="F36" s="71">
        <f t="shared" si="1"/>
        <v>0</v>
      </c>
      <c r="G36" s="40"/>
    </row>
    <row r="37" spans="1:7" ht="38.25">
      <c r="A37" s="124" t="s">
        <v>105</v>
      </c>
      <c r="B37" s="72" t="s">
        <v>86</v>
      </c>
      <c r="C37" s="53" t="s">
        <v>47</v>
      </c>
      <c r="D37" s="50">
        <f>D17</f>
        <v>27</v>
      </c>
      <c r="E37" s="507"/>
      <c r="F37" s="71">
        <f t="shared" si="1"/>
        <v>0</v>
      </c>
    </row>
    <row r="38" spans="1:7" ht="26.25" thickBot="1">
      <c r="A38" s="124" t="s">
        <v>436</v>
      </c>
      <c r="B38" s="233" t="s">
        <v>74</v>
      </c>
      <c r="C38" s="53" t="s">
        <v>48</v>
      </c>
      <c r="D38" s="50">
        <f>D37/0.2</f>
        <v>135</v>
      </c>
      <c r="E38" s="507"/>
      <c r="F38" s="71">
        <f t="shared" si="1"/>
        <v>0</v>
      </c>
    </row>
    <row r="39" spans="1:7" ht="15" thickBot="1">
      <c r="A39" s="164" t="s">
        <v>36</v>
      </c>
      <c r="B39" s="165" t="s">
        <v>11</v>
      </c>
      <c r="C39" s="74"/>
      <c r="D39" s="75"/>
      <c r="E39" s="105"/>
      <c r="F39" s="166">
        <f>SUM(F17:F38)</f>
        <v>0</v>
      </c>
    </row>
    <row r="40" spans="1:7" ht="15" thickBot="1">
      <c r="A40" s="120"/>
      <c r="B40" s="76"/>
      <c r="C40" s="77"/>
      <c r="D40" s="78"/>
      <c r="E40" s="106"/>
      <c r="F40" s="99"/>
    </row>
    <row r="41" spans="1:7" ht="15" thickBot="1">
      <c r="A41" s="125"/>
      <c r="B41" s="79" t="s">
        <v>37</v>
      </c>
      <c r="C41" s="80"/>
      <c r="D41" s="81"/>
      <c r="E41" s="107"/>
      <c r="F41" s="108"/>
    </row>
    <row r="42" spans="1:7" ht="63.75">
      <c r="A42" s="122"/>
      <c r="B42" s="82" t="s">
        <v>24</v>
      </c>
      <c r="C42" s="45"/>
      <c r="D42" s="46"/>
      <c r="E42" s="97"/>
      <c r="F42" s="47"/>
    </row>
    <row r="43" spans="1:7" ht="76.5">
      <c r="A43" s="123">
        <v>1</v>
      </c>
      <c r="B43" s="233" t="s">
        <v>94</v>
      </c>
      <c r="C43" s="57" t="s">
        <v>9</v>
      </c>
      <c r="D43" s="114">
        <v>80</v>
      </c>
      <c r="E43" s="513"/>
      <c r="F43" s="73">
        <f t="shared" ref="F43:F44" si="2">D43*E43</f>
        <v>0</v>
      </c>
    </row>
    <row r="44" spans="1:7">
      <c r="A44" s="181"/>
      <c r="B44" s="171" t="s">
        <v>121</v>
      </c>
      <c r="C44" s="172" t="s">
        <v>6</v>
      </c>
      <c r="D44" s="114">
        <v>6</v>
      </c>
      <c r="E44" s="513"/>
      <c r="F44" s="73">
        <f t="shared" si="2"/>
        <v>0</v>
      </c>
    </row>
    <row r="45" spans="1:7" ht="191.25">
      <c r="A45" s="174" t="s">
        <v>55</v>
      </c>
      <c r="B45" s="251" t="s">
        <v>95</v>
      </c>
      <c r="C45" s="175"/>
      <c r="D45" s="176"/>
      <c r="E45" s="177"/>
      <c r="F45" s="178"/>
    </row>
    <row r="46" spans="1:7">
      <c r="A46" s="181"/>
      <c r="B46" s="171" t="s">
        <v>30</v>
      </c>
      <c r="C46" s="172" t="s">
        <v>6</v>
      </c>
      <c r="D46" s="173">
        <v>4</v>
      </c>
      <c r="E46" s="514"/>
      <c r="F46" s="182">
        <f t="shared" ref="F46:F52" si="3">D46*E46</f>
        <v>0</v>
      </c>
    </row>
    <row r="47" spans="1:7" ht="51">
      <c r="A47" s="123" t="s">
        <v>57</v>
      </c>
      <c r="B47" s="72" t="s">
        <v>103</v>
      </c>
      <c r="C47" s="49" t="s">
        <v>6</v>
      </c>
      <c r="D47" s="50">
        <v>1</v>
      </c>
      <c r="E47" s="507"/>
      <c r="F47" s="73">
        <f t="shared" si="3"/>
        <v>0</v>
      </c>
    </row>
    <row r="48" spans="1:7" ht="102">
      <c r="A48" s="123" t="s">
        <v>58</v>
      </c>
      <c r="B48" s="231" t="s">
        <v>87</v>
      </c>
      <c r="C48" s="49" t="s">
        <v>6</v>
      </c>
      <c r="D48" s="50">
        <v>2</v>
      </c>
      <c r="E48" s="512"/>
      <c r="F48" s="73">
        <f t="shared" si="3"/>
        <v>0</v>
      </c>
    </row>
    <row r="49" spans="1:45" ht="51">
      <c r="A49" s="123" t="s">
        <v>59</v>
      </c>
      <c r="B49" s="48" t="s">
        <v>88</v>
      </c>
      <c r="C49" s="49" t="s">
        <v>6</v>
      </c>
      <c r="D49" s="50">
        <v>2</v>
      </c>
      <c r="E49" s="512"/>
      <c r="F49" s="73">
        <f t="shared" si="3"/>
        <v>0</v>
      </c>
    </row>
    <row r="50" spans="1:45" ht="38.25">
      <c r="A50" s="174" t="s">
        <v>60</v>
      </c>
      <c r="B50" s="188" t="s">
        <v>89</v>
      </c>
      <c r="C50" s="49" t="s">
        <v>6</v>
      </c>
      <c r="D50" s="189">
        <v>2</v>
      </c>
      <c r="E50" s="508"/>
      <c r="F50" s="73">
        <f t="shared" si="3"/>
        <v>0</v>
      </c>
    </row>
    <row r="51" spans="1:45" ht="89.25">
      <c r="A51" s="181"/>
      <c r="B51" s="231" t="s">
        <v>80</v>
      </c>
      <c r="C51" s="49" t="s">
        <v>9</v>
      </c>
      <c r="D51" s="50">
        <f>2*8</f>
        <v>16</v>
      </c>
      <c r="E51" s="512"/>
      <c r="F51" s="73">
        <f t="shared" si="3"/>
        <v>0</v>
      </c>
    </row>
    <row r="52" spans="1:45" ht="15" thickBot="1">
      <c r="A52" s="179"/>
      <c r="B52" s="168" t="s">
        <v>106</v>
      </c>
      <c r="C52" s="169" t="s">
        <v>6</v>
      </c>
      <c r="D52" s="170">
        <v>2</v>
      </c>
      <c r="E52" s="515"/>
      <c r="F52" s="180">
        <f t="shared" si="3"/>
        <v>0</v>
      </c>
    </row>
    <row r="53" spans="1:45" ht="15" thickBot="1">
      <c r="A53" s="161" t="s">
        <v>38</v>
      </c>
      <c r="B53" s="163" t="s">
        <v>26</v>
      </c>
      <c r="C53" s="83"/>
      <c r="D53" s="84"/>
      <c r="E53" s="109"/>
      <c r="F53" s="162">
        <f>SUM(F43:F52)</f>
        <v>0</v>
      </c>
    </row>
    <row r="54" spans="1:45" ht="15" thickBot="1">
      <c r="A54" s="120"/>
      <c r="B54" s="61"/>
      <c r="C54" s="62"/>
      <c r="D54" s="63"/>
      <c r="E54" s="99"/>
      <c r="F54" s="99"/>
    </row>
    <row r="55" spans="1:45" ht="15" thickBot="1">
      <c r="A55" s="121"/>
      <c r="B55" s="85" t="s">
        <v>39</v>
      </c>
      <c r="C55" s="86"/>
      <c r="D55" s="87"/>
      <c r="E55" s="110"/>
      <c r="F55" s="111"/>
    </row>
    <row r="56" spans="1:45" ht="76.5">
      <c r="A56" s="118"/>
      <c r="B56" s="67" t="s">
        <v>8</v>
      </c>
      <c r="C56" s="68"/>
      <c r="D56" s="69"/>
      <c r="E56" s="103"/>
      <c r="F56" s="104"/>
    </row>
    <row r="57" spans="1:45" ht="25.5">
      <c r="A57" s="119" t="s">
        <v>54</v>
      </c>
      <c r="B57" s="88" t="s">
        <v>42</v>
      </c>
      <c r="C57" s="55" t="s">
        <v>9</v>
      </c>
      <c r="D57" s="115">
        <v>75</v>
      </c>
      <c r="E57" s="516"/>
      <c r="F57" s="51">
        <f t="shared" ref="F57:F64" si="4">D57*E57</f>
        <v>0</v>
      </c>
    </row>
    <row r="58" spans="1:45" ht="25.5">
      <c r="A58" s="119" t="s">
        <v>55</v>
      </c>
      <c r="B58" s="88" t="s">
        <v>100</v>
      </c>
      <c r="C58" s="55" t="s">
        <v>9</v>
      </c>
      <c r="D58" s="115">
        <f>D57</f>
        <v>75</v>
      </c>
      <c r="E58" s="516"/>
      <c r="F58" s="51">
        <f>D58*E58</f>
        <v>0</v>
      </c>
    </row>
    <row r="59" spans="1:45">
      <c r="A59" s="119" t="s">
        <v>56</v>
      </c>
      <c r="B59" s="88" t="s">
        <v>101</v>
      </c>
      <c r="C59" s="55" t="s">
        <v>9</v>
      </c>
      <c r="D59" s="115">
        <f>D57</f>
        <v>75</v>
      </c>
      <c r="E59" s="516"/>
      <c r="F59" s="51">
        <f>D59*E59</f>
        <v>0</v>
      </c>
    </row>
    <row r="60" spans="1:45" ht="25.5">
      <c r="A60" s="119" t="s">
        <v>57</v>
      </c>
      <c r="B60" s="240" t="s">
        <v>109</v>
      </c>
      <c r="C60" s="49" t="s">
        <v>48</v>
      </c>
      <c r="D60" s="50">
        <v>20</v>
      </c>
      <c r="E60" s="517"/>
      <c r="F60" s="51">
        <f>D60*E60</f>
        <v>0</v>
      </c>
    </row>
    <row r="61" spans="1:45" ht="25.5">
      <c r="A61" s="123" t="s">
        <v>58</v>
      </c>
      <c r="B61" s="187" t="s">
        <v>110</v>
      </c>
      <c r="C61" s="49" t="s">
        <v>48</v>
      </c>
      <c r="D61" s="50">
        <f>D60</f>
        <v>20</v>
      </c>
      <c r="E61" s="517"/>
      <c r="F61" s="51">
        <f t="shared" si="4"/>
        <v>0</v>
      </c>
    </row>
    <row r="62" spans="1:45" ht="25.5">
      <c r="A62" s="119" t="s">
        <v>59</v>
      </c>
      <c r="B62" s="52" t="s">
        <v>91</v>
      </c>
      <c r="C62" s="49" t="s">
        <v>47</v>
      </c>
      <c r="D62" s="50">
        <v>3</v>
      </c>
      <c r="E62" s="507"/>
      <c r="F62" s="51">
        <f t="shared" si="4"/>
        <v>0</v>
      </c>
      <c r="H62" s="239"/>
      <c r="I62" s="239"/>
      <c r="J62" s="239"/>
      <c r="K62" s="239"/>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39"/>
      <c r="AP62" s="239"/>
      <c r="AQ62" s="239"/>
      <c r="AR62" s="239"/>
      <c r="AS62" s="239"/>
    </row>
    <row r="63" spans="1:45" ht="51">
      <c r="A63" s="119" t="s">
        <v>60</v>
      </c>
      <c r="B63" s="230" t="s">
        <v>451</v>
      </c>
      <c r="C63" s="49" t="s">
        <v>9</v>
      </c>
      <c r="D63" s="185">
        <v>6</v>
      </c>
      <c r="E63" s="508"/>
      <c r="F63" s="51">
        <f t="shared" si="4"/>
        <v>0</v>
      </c>
    </row>
    <row r="64" spans="1:45" ht="51">
      <c r="A64" s="119" t="s">
        <v>61</v>
      </c>
      <c r="B64" s="52" t="s">
        <v>21</v>
      </c>
      <c r="C64" s="49" t="s">
        <v>6</v>
      </c>
      <c r="D64" s="50">
        <v>2</v>
      </c>
      <c r="E64" s="507"/>
      <c r="F64" s="51">
        <f t="shared" si="4"/>
        <v>0</v>
      </c>
    </row>
    <row r="65" spans="1:7" s="205" customFormat="1" ht="51.75" thickBot="1">
      <c r="A65" s="119" t="s">
        <v>62</v>
      </c>
      <c r="B65" s="52" t="s">
        <v>93</v>
      </c>
      <c r="C65" s="49" t="s">
        <v>6</v>
      </c>
      <c r="D65" s="50">
        <v>2</v>
      </c>
      <c r="E65" s="507"/>
      <c r="F65" s="51">
        <f>D65*E65</f>
        <v>0</v>
      </c>
      <c r="G65" s="91"/>
    </row>
    <row r="66" spans="1:7" ht="15" thickBot="1">
      <c r="A66" s="158" t="s">
        <v>40</v>
      </c>
      <c r="B66" s="159" t="s">
        <v>10</v>
      </c>
      <c r="C66" s="89"/>
      <c r="D66" s="90"/>
      <c r="E66" s="112"/>
      <c r="F66" s="160">
        <f>SUM(F57:F65)</f>
        <v>0</v>
      </c>
    </row>
    <row r="67" spans="1:7" ht="15" thickBot="1"/>
    <row r="68" spans="1:7" ht="15" thickBot="1">
      <c r="A68" s="224"/>
      <c r="B68" s="225" t="s">
        <v>447</v>
      </c>
      <c r="C68" s="226"/>
      <c r="D68" s="227"/>
      <c r="E68" s="228"/>
      <c r="F68" s="229">
        <f>F12+F39+F53+F66</f>
        <v>0</v>
      </c>
    </row>
  </sheetData>
  <sheetProtection algorithmName="SHA-512" hashValue="7ZGDhcwA/qTNCpJB/1id311ZHUU2eLpzeqOj9OrBLEOmNOal6rGizDQ7ujK1i1zLH3R5by7bb6ThfLL7S/HKRg==" saltValue="W1wwRwMMtyRwyiX562UUFA==" spinCount="100000" sheet="1" objects="1" scenarios="1"/>
  <phoneticPr fontId="64" type="noConversion"/>
  <pageMargins left="0.70866141732283472" right="0.70866141732283472" top="0.74803149606299213" bottom="0.74803149606299213" header="0.31496062992125984" footer="0.31496062992125984"/>
  <pageSetup paperSize="9" orientation="portrait" r:id="rId1"/>
  <headerFooter>
    <oddHeader>&amp;LSAVINJAPROJEKT d.o.o.&amp;RŠt. projekta: 68/2018</oddHeader>
    <oddFooter>&amp;C&amp;P</oddFooter>
  </headerFooter>
  <rowBreaks count="2" manualBreakCount="2">
    <brk id="26" max="5" man="1"/>
    <brk id="40" max="16383" man="1"/>
  </rowBreaks>
  <ignoredErrors>
    <ignoredError sqref="A6:A10 A57:A65 A45 A47:A5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G58"/>
  <sheetViews>
    <sheetView view="pageBreakPreview" topLeftCell="A28" zoomScaleNormal="100" zoomScaleSheetLayoutView="100" workbookViewId="0">
      <selection activeCell="F34" sqref="F34"/>
    </sheetView>
  </sheetViews>
  <sheetFormatPr defaultRowHeight="14.25"/>
  <cols>
    <col min="1" max="1" width="4.85546875" style="126" bestFit="1" customWidth="1"/>
    <col min="2" max="2" width="45.42578125" style="91" customWidth="1"/>
    <col min="3" max="3" width="6.5703125" style="92" bestFit="1" customWidth="1"/>
    <col min="4" max="4" width="8.7109375" style="93" customWidth="1"/>
    <col min="5" max="5" width="10.5703125" style="113" customWidth="1"/>
    <col min="6" max="6" width="13" style="113" customWidth="1"/>
    <col min="7" max="7" width="9.140625" style="40"/>
    <col min="8" max="16384" width="9.140625" style="37"/>
  </cols>
  <sheetData>
    <row r="1" spans="1:6" s="238" customFormat="1" ht="18">
      <c r="A1" s="250"/>
      <c r="B1" s="456" t="s">
        <v>363</v>
      </c>
      <c r="C1" s="235"/>
      <c r="D1" s="236"/>
      <c r="E1" s="237"/>
      <c r="F1" s="237"/>
    </row>
    <row r="2" spans="1:6" ht="15" thickBot="1"/>
    <row r="3" spans="1:6" ht="26.25" thickBot="1">
      <c r="A3" s="116" t="s">
        <v>0</v>
      </c>
      <c r="B3" s="38" t="s">
        <v>1</v>
      </c>
      <c r="C3" s="38" t="s">
        <v>2</v>
      </c>
      <c r="D3" s="39" t="s">
        <v>3</v>
      </c>
      <c r="E3" s="206" t="s">
        <v>4</v>
      </c>
      <c r="F3" s="94" t="s">
        <v>5</v>
      </c>
    </row>
    <row r="4" spans="1:6" ht="15" thickBot="1">
      <c r="A4" s="117"/>
      <c r="B4" s="41" t="s">
        <v>33</v>
      </c>
      <c r="C4" s="42"/>
      <c r="D4" s="43"/>
      <c r="E4" s="95"/>
      <c r="F4" s="96"/>
    </row>
    <row r="5" spans="1:6" ht="25.5">
      <c r="A5" s="252">
        <v>1</v>
      </c>
      <c r="B5" s="48" t="s">
        <v>46</v>
      </c>
      <c r="C5" s="49" t="s">
        <v>9</v>
      </c>
      <c r="D5" s="50">
        <v>60</v>
      </c>
      <c r="E5" s="507"/>
      <c r="F5" s="51">
        <f t="shared" ref="F5:F7" si="0">D5*E5</f>
        <v>0</v>
      </c>
    </row>
    <row r="6" spans="1:6" ht="25.5">
      <c r="A6" s="119" t="s">
        <v>55</v>
      </c>
      <c r="B6" s="52" t="s">
        <v>28</v>
      </c>
      <c r="C6" s="49" t="s">
        <v>6</v>
      </c>
      <c r="D6" s="50">
        <v>4</v>
      </c>
      <c r="E6" s="507"/>
      <c r="F6" s="51">
        <f t="shared" si="0"/>
        <v>0</v>
      </c>
    </row>
    <row r="7" spans="1:6" ht="39" thickBot="1">
      <c r="A7" s="118" t="s">
        <v>56</v>
      </c>
      <c r="B7" s="48" t="s">
        <v>82</v>
      </c>
      <c r="C7" s="49" t="s">
        <v>47</v>
      </c>
      <c r="D7" s="50">
        <v>5</v>
      </c>
      <c r="E7" s="507"/>
      <c r="F7" s="51">
        <f t="shared" si="0"/>
        <v>0</v>
      </c>
    </row>
    <row r="8" spans="1:6" ht="15" thickBot="1">
      <c r="A8" s="155" t="s">
        <v>34</v>
      </c>
      <c r="B8" s="58" t="s">
        <v>12</v>
      </c>
      <c r="C8" s="59"/>
      <c r="D8" s="60"/>
      <c r="E8" s="98"/>
      <c r="F8" s="156">
        <f>SUM(F5:F7)</f>
        <v>0</v>
      </c>
    </row>
    <row r="9" spans="1:6" ht="15" thickBot="1">
      <c r="A9" s="120"/>
      <c r="B9" s="61"/>
      <c r="C9" s="62"/>
      <c r="D9" s="63"/>
      <c r="E9" s="99"/>
      <c r="F9" s="100"/>
    </row>
    <row r="10" spans="1:6" ht="15" thickBot="1">
      <c r="A10" s="121"/>
      <c r="B10" s="64" t="s">
        <v>35</v>
      </c>
      <c r="C10" s="65"/>
      <c r="D10" s="66"/>
      <c r="E10" s="101"/>
      <c r="F10" s="102"/>
    </row>
    <row r="11" spans="1:6" ht="51">
      <c r="A11" s="122"/>
      <c r="B11" s="67" t="s">
        <v>52</v>
      </c>
      <c r="C11" s="68"/>
      <c r="D11" s="69"/>
      <c r="E11" s="103"/>
      <c r="F11" s="104"/>
    </row>
    <row r="12" spans="1:6" ht="38.25">
      <c r="A12" s="118"/>
      <c r="B12" s="70" t="s">
        <v>25</v>
      </c>
      <c r="C12" s="49"/>
      <c r="D12" s="50"/>
      <c r="E12" s="56"/>
      <c r="F12" s="51"/>
    </row>
    <row r="13" spans="1:6" ht="25.5">
      <c r="A13" s="119" t="s">
        <v>54</v>
      </c>
      <c r="B13" s="183" t="s">
        <v>97</v>
      </c>
      <c r="C13" s="49" t="s">
        <v>47</v>
      </c>
      <c r="D13" s="50">
        <f>20*3*0.3</f>
        <v>18</v>
      </c>
      <c r="E13" s="507"/>
      <c r="F13" s="51">
        <f>D13*E13</f>
        <v>0</v>
      </c>
    </row>
    <row r="14" spans="1:6">
      <c r="A14" s="119" t="s">
        <v>55</v>
      </c>
      <c r="B14" s="48" t="s">
        <v>43</v>
      </c>
      <c r="C14" s="49" t="s">
        <v>47</v>
      </c>
      <c r="D14" s="50">
        <v>5</v>
      </c>
      <c r="E14" s="507"/>
      <c r="F14" s="51">
        <f>D14*E14</f>
        <v>0</v>
      </c>
    </row>
    <row r="15" spans="1:6" ht="38.25">
      <c r="A15" s="167" t="s">
        <v>56</v>
      </c>
      <c r="B15" s="191" t="s">
        <v>77</v>
      </c>
      <c r="C15" s="254"/>
      <c r="D15" s="255"/>
      <c r="E15" s="194"/>
      <c r="F15" s="195"/>
    </row>
    <row r="16" spans="1:6">
      <c r="A16" s="256"/>
      <c r="B16" s="257" t="s">
        <v>76</v>
      </c>
      <c r="C16" s="258" t="s">
        <v>47</v>
      </c>
      <c r="D16" s="259">
        <f>4*2*1.5+6*2.5*1.5</f>
        <v>34.5</v>
      </c>
      <c r="E16" s="510"/>
      <c r="F16" s="204">
        <f>D16*E16</f>
        <v>0</v>
      </c>
    </row>
    <row r="17" spans="1:6">
      <c r="A17" s="118"/>
      <c r="B17" s="265" t="s">
        <v>75</v>
      </c>
      <c r="C17" s="68" t="s">
        <v>47</v>
      </c>
      <c r="D17" s="69">
        <f>4*1.5*1.5</f>
        <v>9</v>
      </c>
      <c r="E17" s="518"/>
      <c r="F17" s="199">
        <f>D17*E17</f>
        <v>0</v>
      </c>
    </row>
    <row r="18" spans="1:6" ht="38.25">
      <c r="A18" s="119" t="s">
        <v>57</v>
      </c>
      <c r="B18" s="231" t="s">
        <v>29</v>
      </c>
      <c r="C18" s="49" t="s">
        <v>48</v>
      </c>
      <c r="D18" s="50">
        <f>6*2*2+4*3.3*2</f>
        <v>50.4</v>
      </c>
      <c r="E18" s="512"/>
      <c r="F18" s="71">
        <f t="shared" ref="F18:F28" si="1">D18*E18</f>
        <v>0</v>
      </c>
    </row>
    <row r="19" spans="1:6" ht="63.75">
      <c r="A19" s="119" t="s">
        <v>58</v>
      </c>
      <c r="B19" s="48" t="s">
        <v>73</v>
      </c>
      <c r="C19" s="49" t="s">
        <v>6</v>
      </c>
      <c r="D19" s="50">
        <v>8</v>
      </c>
      <c r="E19" s="512"/>
      <c r="F19" s="71">
        <f t="shared" si="1"/>
        <v>0</v>
      </c>
    </row>
    <row r="20" spans="1:6" ht="25.5">
      <c r="A20" s="119" t="s">
        <v>59</v>
      </c>
      <c r="B20" s="231" t="s">
        <v>44</v>
      </c>
      <c r="C20" s="55" t="s">
        <v>48</v>
      </c>
      <c r="D20" s="50">
        <f>6*0.9+2*0.9</f>
        <v>7.2</v>
      </c>
      <c r="E20" s="507"/>
      <c r="F20" s="71">
        <f t="shared" si="1"/>
        <v>0</v>
      </c>
    </row>
    <row r="21" spans="1:6" ht="51">
      <c r="A21" s="119" t="s">
        <v>60</v>
      </c>
      <c r="B21" s="183" t="s">
        <v>129</v>
      </c>
      <c r="C21" s="49" t="s">
        <v>47</v>
      </c>
      <c r="D21" s="50">
        <f>0.12*4</f>
        <v>0.48</v>
      </c>
      <c r="E21" s="507"/>
      <c r="F21" s="71">
        <f t="shared" si="1"/>
        <v>0</v>
      </c>
    </row>
    <row r="22" spans="1:6" ht="51">
      <c r="A22" s="119" t="s">
        <v>61</v>
      </c>
      <c r="B22" s="183" t="s">
        <v>403</v>
      </c>
      <c r="C22" s="49" t="s">
        <v>47</v>
      </c>
      <c r="D22" s="50">
        <f>0.15*4</f>
        <v>0.6</v>
      </c>
      <c r="E22" s="507"/>
      <c r="F22" s="71">
        <f t="shared" si="1"/>
        <v>0</v>
      </c>
    </row>
    <row r="23" spans="1:6" ht="51">
      <c r="A23" s="119" t="s">
        <v>62</v>
      </c>
      <c r="B23" s="183" t="s">
        <v>84</v>
      </c>
      <c r="C23" s="49" t="s">
        <v>47</v>
      </c>
      <c r="D23" s="50">
        <f>7.22+7.85</f>
        <v>15.07</v>
      </c>
      <c r="E23" s="507"/>
      <c r="F23" s="71">
        <f t="shared" si="1"/>
        <v>0</v>
      </c>
    </row>
    <row r="24" spans="1:6" ht="76.5">
      <c r="A24" s="119" t="s">
        <v>63</v>
      </c>
      <c r="B24" s="48" t="s">
        <v>22</v>
      </c>
      <c r="C24" s="49" t="s">
        <v>47</v>
      </c>
      <c r="D24" s="50">
        <f>(D16+D17)-D21-D22-D23</f>
        <v>27.35</v>
      </c>
      <c r="E24" s="507"/>
      <c r="F24" s="71">
        <f t="shared" si="1"/>
        <v>0</v>
      </c>
    </row>
    <row r="25" spans="1:6" ht="38.25">
      <c r="A25" s="119" t="s">
        <v>64</v>
      </c>
      <c r="B25" s="186" t="s">
        <v>99</v>
      </c>
      <c r="C25" s="49" t="s">
        <v>47</v>
      </c>
      <c r="D25" s="50">
        <v>30</v>
      </c>
      <c r="E25" s="507"/>
      <c r="F25" s="71">
        <f t="shared" si="1"/>
        <v>0</v>
      </c>
    </row>
    <row r="26" spans="1:6" ht="25.5">
      <c r="A26" s="119" t="s">
        <v>65</v>
      </c>
      <c r="B26" s="72" t="s">
        <v>45</v>
      </c>
      <c r="C26" s="49" t="s">
        <v>9</v>
      </c>
      <c r="D26" s="50">
        <v>10</v>
      </c>
      <c r="E26" s="507"/>
      <c r="F26" s="71">
        <f t="shared" si="1"/>
        <v>0</v>
      </c>
    </row>
    <row r="27" spans="1:6" ht="38.25">
      <c r="A27" s="119" t="s">
        <v>66</v>
      </c>
      <c r="B27" s="72" t="s">
        <v>454</v>
      </c>
      <c r="C27" s="49" t="s">
        <v>47</v>
      </c>
      <c r="D27" s="50">
        <f>(D14+D16+D17-D24)*1.25</f>
        <v>26.4375</v>
      </c>
      <c r="E27" s="507"/>
      <c r="F27" s="71">
        <f t="shared" si="1"/>
        <v>0</v>
      </c>
    </row>
    <row r="28" spans="1:6" ht="15" thickBot="1">
      <c r="A28" s="119" t="s">
        <v>67</v>
      </c>
      <c r="B28" s="231" t="s">
        <v>404</v>
      </c>
      <c r="C28" s="55" t="s">
        <v>48</v>
      </c>
      <c r="D28" s="50">
        <f>20*3</f>
        <v>60</v>
      </c>
      <c r="E28" s="507"/>
      <c r="F28" s="71">
        <f t="shared" si="1"/>
        <v>0</v>
      </c>
    </row>
    <row r="29" spans="1:6" ht="15" thickBot="1">
      <c r="A29" s="164" t="s">
        <v>36</v>
      </c>
      <c r="B29" s="165" t="s">
        <v>11</v>
      </c>
      <c r="C29" s="74"/>
      <c r="D29" s="75"/>
      <c r="E29" s="105"/>
      <c r="F29" s="166">
        <f>SUM(F13:F28)</f>
        <v>0</v>
      </c>
    </row>
    <row r="30" spans="1:6" ht="15" thickBot="1">
      <c r="A30" s="120"/>
      <c r="B30" s="260"/>
      <c r="C30" s="261"/>
      <c r="D30" s="262"/>
      <c r="E30" s="106"/>
      <c r="F30" s="99"/>
    </row>
    <row r="31" spans="1:6" ht="15" thickBot="1">
      <c r="A31" s="125"/>
      <c r="B31" s="79" t="s">
        <v>37</v>
      </c>
      <c r="C31" s="80"/>
      <c r="D31" s="81"/>
      <c r="E31" s="107"/>
      <c r="F31" s="108"/>
    </row>
    <row r="32" spans="1:6" ht="63.75">
      <c r="A32" s="122"/>
      <c r="B32" s="82" t="s">
        <v>24</v>
      </c>
      <c r="C32" s="45"/>
      <c r="D32" s="46"/>
      <c r="E32" s="97"/>
      <c r="F32" s="47"/>
    </row>
    <row r="33" spans="1:7" ht="25.5">
      <c r="A33" s="123">
        <v>1</v>
      </c>
      <c r="B33" s="233" t="s">
        <v>465</v>
      </c>
      <c r="C33" s="49" t="s">
        <v>9</v>
      </c>
      <c r="D33" s="50">
        <v>60</v>
      </c>
      <c r="E33" s="513"/>
      <c r="F33" s="73">
        <f t="shared" ref="F33:F47" si="2">D33*E33</f>
        <v>0</v>
      </c>
    </row>
    <row r="34" spans="1:7">
      <c r="A34" s="123" t="s">
        <v>55</v>
      </c>
      <c r="B34" s="233" t="s">
        <v>455</v>
      </c>
      <c r="C34" s="49" t="s">
        <v>9</v>
      </c>
      <c r="D34" s="50">
        <v>10</v>
      </c>
      <c r="E34" s="513"/>
      <c r="F34" s="73">
        <f t="shared" si="2"/>
        <v>0</v>
      </c>
    </row>
    <row r="35" spans="1:7">
      <c r="A35" s="179"/>
      <c r="B35" s="264" t="s">
        <v>130</v>
      </c>
      <c r="C35" s="68" t="s">
        <v>6</v>
      </c>
      <c r="D35" s="69">
        <v>5</v>
      </c>
      <c r="E35" s="515"/>
      <c r="F35" s="180">
        <f t="shared" si="2"/>
        <v>0</v>
      </c>
    </row>
    <row r="36" spans="1:7">
      <c r="A36" s="179"/>
      <c r="B36" s="264" t="s">
        <v>131</v>
      </c>
      <c r="C36" s="68" t="s">
        <v>6</v>
      </c>
      <c r="D36" s="69">
        <v>5</v>
      </c>
      <c r="E36" s="515"/>
      <c r="F36" s="180">
        <f t="shared" si="2"/>
        <v>0</v>
      </c>
    </row>
    <row r="37" spans="1:7">
      <c r="A37" s="123" t="s">
        <v>56</v>
      </c>
      <c r="B37" s="233" t="s">
        <v>132</v>
      </c>
      <c r="C37" s="49"/>
      <c r="D37" s="50"/>
      <c r="E37" s="513"/>
      <c r="F37" s="73"/>
    </row>
    <row r="38" spans="1:7">
      <c r="A38" s="179"/>
      <c r="B38" s="264" t="s">
        <v>133</v>
      </c>
      <c r="C38" s="68" t="s">
        <v>6</v>
      </c>
      <c r="D38" s="69">
        <v>3</v>
      </c>
      <c r="E38" s="515"/>
      <c r="F38" s="180">
        <f t="shared" si="2"/>
        <v>0</v>
      </c>
    </row>
    <row r="39" spans="1:7">
      <c r="A39" s="179"/>
      <c r="B39" s="264" t="s">
        <v>405</v>
      </c>
      <c r="C39" s="68" t="s">
        <v>6</v>
      </c>
      <c r="D39" s="69">
        <v>2</v>
      </c>
      <c r="E39" s="515"/>
      <c r="F39" s="180">
        <f t="shared" si="2"/>
        <v>0</v>
      </c>
    </row>
    <row r="40" spans="1:7">
      <c r="A40" s="179"/>
      <c r="B40" s="264" t="s">
        <v>134</v>
      </c>
      <c r="C40" s="68" t="s">
        <v>6</v>
      </c>
      <c r="D40" s="69">
        <v>1</v>
      </c>
      <c r="E40" s="515"/>
      <c r="F40" s="180">
        <f t="shared" si="2"/>
        <v>0</v>
      </c>
    </row>
    <row r="41" spans="1:7" ht="38.25">
      <c r="A41" s="179"/>
      <c r="B41" s="265" t="s">
        <v>135</v>
      </c>
      <c r="C41" s="68" t="s">
        <v>6</v>
      </c>
      <c r="D41" s="69">
        <v>1</v>
      </c>
      <c r="E41" s="515"/>
      <c r="F41" s="180">
        <f t="shared" si="2"/>
        <v>0</v>
      </c>
    </row>
    <row r="42" spans="1:7" s="247" customFormat="1" ht="76.5">
      <c r="A42" s="179" t="s">
        <v>57</v>
      </c>
      <c r="B42" s="266" t="s">
        <v>136</v>
      </c>
      <c r="C42" s="68" t="s">
        <v>104</v>
      </c>
      <c r="D42" s="69">
        <v>60</v>
      </c>
      <c r="E42" s="515"/>
      <c r="F42" s="180">
        <f t="shared" si="2"/>
        <v>0</v>
      </c>
      <c r="G42" s="40"/>
    </row>
    <row r="43" spans="1:7" ht="76.5">
      <c r="A43" s="123" t="s">
        <v>58</v>
      </c>
      <c r="B43" s="233" t="s">
        <v>94</v>
      </c>
      <c r="C43" s="49" t="s">
        <v>9</v>
      </c>
      <c r="D43" s="50">
        <v>5</v>
      </c>
      <c r="E43" s="513"/>
      <c r="F43" s="73">
        <f t="shared" si="2"/>
        <v>0</v>
      </c>
    </row>
    <row r="44" spans="1:7" ht="178.5">
      <c r="A44" s="174" t="s">
        <v>59</v>
      </c>
      <c r="B44" s="453" t="s">
        <v>406</v>
      </c>
      <c r="C44" s="254"/>
      <c r="D44" s="255"/>
      <c r="E44" s="454"/>
      <c r="F44" s="178"/>
    </row>
    <row r="45" spans="1:7">
      <c r="A45" s="181"/>
      <c r="B45" s="455" t="s">
        <v>30</v>
      </c>
      <c r="C45" s="258" t="s">
        <v>6</v>
      </c>
      <c r="D45" s="259">
        <v>1</v>
      </c>
      <c r="E45" s="514"/>
      <c r="F45" s="182">
        <f t="shared" si="2"/>
        <v>0</v>
      </c>
    </row>
    <row r="46" spans="1:7" ht="51">
      <c r="A46" s="123" t="s">
        <v>60</v>
      </c>
      <c r="B46" s="72" t="s">
        <v>407</v>
      </c>
      <c r="C46" s="49" t="s">
        <v>6</v>
      </c>
      <c r="D46" s="50">
        <v>1</v>
      </c>
      <c r="E46" s="507"/>
      <c r="F46" s="73">
        <f t="shared" si="2"/>
        <v>0</v>
      </c>
    </row>
    <row r="47" spans="1:7" ht="51.75" thickBot="1">
      <c r="A47" s="123" t="s">
        <v>61</v>
      </c>
      <c r="B47" s="72" t="s">
        <v>103</v>
      </c>
      <c r="C47" s="49" t="s">
        <v>6</v>
      </c>
      <c r="D47" s="50">
        <v>1</v>
      </c>
      <c r="E47" s="507"/>
      <c r="F47" s="73">
        <f t="shared" si="2"/>
        <v>0</v>
      </c>
    </row>
    <row r="48" spans="1:7" ht="15" thickBot="1">
      <c r="A48" s="161" t="s">
        <v>38</v>
      </c>
      <c r="B48" s="163" t="s">
        <v>26</v>
      </c>
      <c r="C48" s="83"/>
      <c r="D48" s="84"/>
      <c r="E48" s="109"/>
      <c r="F48" s="162">
        <f>SUM(F33:F47)</f>
        <v>0</v>
      </c>
    </row>
    <row r="49" spans="1:7" ht="15" thickBot="1">
      <c r="A49" s="120"/>
      <c r="B49" s="61"/>
      <c r="C49" s="62"/>
      <c r="D49" s="63"/>
      <c r="E49" s="99"/>
      <c r="F49" s="99"/>
    </row>
    <row r="50" spans="1:7" ht="15" thickBot="1">
      <c r="A50" s="121"/>
      <c r="B50" s="85" t="s">
        <v>39</v>
      </c>
      <c r="C50" s="86"/>
      <c r="D50" s="87"/>
      <c r="E50" s="110"/>
      <c r="F50" s="111"/>
    </row>
    <row r="51" spans="1:7" ht="63.75">
      <c r="A51" s="118"/>
      <c r="B51" s="67" t="s">
        <v>8</v>
      </c>
      <c r="C51" s="68"/>
      <c r="D51" s="69"/>
      <c r="E51" s="519"/>
      <c r="F51" s="104"/>
    </row>
    <row r="52" spans="1:7" ht="25.5">
      <c r="A52" s="119" t="s">
        <v>54</v>
      </c>
      <c r="B52" s="88" t="s">
        <v>100</v>
      </c>
      <c r="C52" s="55" t="s">
        <v>9</v>
      </c>
      <c r="D52" s="115">
        <v>60</v>
      </c>
      <c r="E52" s="516"/>
      <c r="F52" s="51">
        <f>D52*E52</f>
        <v>0</v>
      </c>
    </row>
    <row r="53" spans="1:7" s="205" customFormat="1" ht="25.5">
      <c r="A53" s="119" t="s">
        <v>58</v>
      </c>
      <c r="B53" s="52" t="s">
        <v>91</v>
      </c>
      <c r="C53" s="49" t="s">
        <v>47</v>
      </c>
      <c r="D53" s="50">
        <v>5</v>
      </c>
      <c r="E53" s="507"/>
      <c r="F53" s="51">
        <f t="shared" ref="F53:F54" si="3">D53*E53</f>
        <v>0</v>
      </c>
      <c r="G53" s="91"/>
    </row>
    <row r="54" spans="1:7" ht="51">
      <c r="A54" s="119" t="s">
        <v>59</v>
      </c>
      <c r="B54" s="52" t="s">
        <v>21</v>
      </c>
      <c r="C54" s="49" t="s">
        <v>6</v>
      </c>
      <c r="D54" s="50">
        <v>1</v>
      </c>
      <c r="E54" s="507"/>
      <c r="F54" s="51">
        <f t="shared" si="3"/>
        <v>0</v>
      </c>
    </row>
    <row r="55" spans="1:7" ht="51.75" thickBot="1">
      <c r="A55" s="119" t="s">
        <v>60</v>
      </c>
      <c r="B55" s="52" t="s">
        <v>93</v>
      </c>
      <c r="C55" s="49" t="s">
        <v>6</v>
      </c>
      <c r="D55" s="50">
        <v>1</v>
      </c>
      <c r="E55" s="507"/>
      <c r="F55" s="51">
        <f>D55*E55</f>
        <v>0</v>
      </c>
    </row>
    <row r="56" spans="1:7" ht="15" thickBot="1">
      <c r="A56" s="158" t="s">
        <v>40</v>
      </c>
      <c r="B56" s="159" t="s">
        <v>10</v>
      </c>
      <c r="C56" s="89"/>
      <c r="D56" s="90"/>
      <c r="E56" s="112"/>
      <c r="F56" s="160">
        <f>SUM(F52:F55)</f>
        <v>0</v>
      </c>
    </row>
    <row r="57" spans="1:7" ht="15" thickBot="1"/>
    <row r="58" spans="1:7" ht="15" thickBot="1">
      <c r="A58" s="224"/>
      <c r="B58" s="225" t="s">
        <v>409</v>
      </c>
      <c r="C58" s="226"/>
      <c r="D58" s="227"/>
      <c r="E58" s="228"/>
      <c r="F58" s="229">
        <f>F8+F29+F48+F56</f>
        <v>0</v>
      </c>
    </row>
  </sheetData>
  <sheetProtection algorithmName="SHA-512" hashValue="l15K/XZdGODAoMaRlm675CdwKQO18+vDLyP79IDj+2AyQ5M929gohCcDX5jgxKJVPVAkJa6f6mRBy6qXNnD9/w==" saltValue="qSlr1sLQ94eVc2gLdYPBzw==" spinCount="100000" sheet="1" objects="1" scenarios="1"/>
  <pageMargins left="0.70866141732283472" right="0.70866141732283472" top="0.74803149606299213" bottom="0.74803149606299213" header="0.31496062992125984" footer="0.31496062992125984"/>
  <pageSetup paperSize="9" orientation="portrait" r:id="rId1"/>
  <headerFooter>
    <oddHeader>&amp;LSAVINJAPROJEKT d.o.o.&amp;RŠt. projekta: 68/2018</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59999389629810485"/>
  </sheetPr>
  <dimension ref="A1:F240"/>
  <sheetViews>
    <sheetView showZeros="0" tabSelected="1" view="pageBreakPreview" topLeftCell="A163" zoomScaleNormal="100" zoomScaleSheetLayoutView="100" workbookViewId="0">
      <selection activeCell="F172" sqref="F172"/>
    </sheetView>
  </sheetViews>
  <sheetFormatPr defaultRowHeight="15.75"/>
  <cols>
    <col min="1" max="1" width="6" style="357" customWidth="1"/>
    <col min="2" max="2" width="32.85546875" style="355" customWidth="1"/>
    <col min="3" max="3" width="4.85546875" style="355" customWidth="1"/>
    <col min="4" max="4" width="9.85546875" style="355" customWidth="1"/>
    <col min="5" max="5" width="14.140625" style="355" customWidth="1"/>
    <col min="6" max="6" width="15.28515625" style="356" customWidth="1"/>
    <col min="7" max="256" width="9.140625" style="27"/>
    <col min="257" max="257" width="6" style="27" customWidth="1"/>
    <col min="258" max="258" width="32.85546875" style="27" customWidth="1"/>
    <col min="259" max="259" width="4.85546875" style="27" customWidth="1"/>
    <col min="260" max="260" width="9.85546875" style="27" customWidth="1"/>
    <col min="261" max="261" width="14.140625" style="27" customWidth="1"/>
    <col min="262" max="262" width="15.28515625" style="27" customWidth="1"/>
    <col min="263" max="512" width="9.140625" style="27"/>
    <col min="513" max="513" width="6" style="27" customWidth="1"/>
    <col min="514" max="514" width="32.85546875" style="27" customWidth="1"/>
    <col min="515" max="515" width="4.85546875" style="27" customWidth="1"/>
    <col min="516" max="516" width="9.85546875" style="27" customWidth="1"/>
    <col min="517" max="517" width="14.140625" style="27" customWidth="1"/>
    <col min="518" max="518" width="15.28515625" style="27" customWidth="1"/>
    <col min="519" max="768" width="9.140625" style="27"/>
    <col min="769" max="769" width="6" style="27" customWidth="1"/>
    <col min="770" max="770" width="32.85546875" style="27" customWidth="1"/>
    <col min="771" max="771" width="4.85546875" style="27" customWidth="1"/>
    <col min="772" max="772" width="9.85546875" style="27" customWidth="1"/>
    <col min="773" max="773" width="14.140625" style="27" customWidth="1"/>
    <col min="774" max="774" width="15.28515625" style="27" customWidth="1"/>
    <col min="775" max="1024" width="9.140625" style="27"/>
    <col min="1025" max="1025" width="6" style="27" customWidth="1"/>
    <col min="1026" max="1026" width="32.85546875" style="27" customWidth="1"/>
    <col min="1027" max="1027" width="4.85546875" style="27" customWidth="1"/>
    <col min="1028" max="1028" width="9.85546875" style="27" customWidth="1"/>
    <col min="1029" max="1029" width="14.140625" style="27" customWidth="1"/>
    <col min="1030" max="1030" width="15.28515625" style="27" customWidth="1"/>
    <col min="1031" max="1280" width="9.140625" style="27"/>
    <col min="1281" max="1281" width="6" style="27" customWidth="1"/>
    <col min="1282" max="1282" width="32.85546875" style="27" customWidth="1"/>
    <col min="1283" max="1283" width="4.85546875" style="27" customWidth="1"/>
    <col min="1284" max="1284" width="9.85546875" style="27" customWidth="1"/>
    <col min="1285" max="1285" width="14.140625" style="27" customWidth="1"/>
    <col min="1286" max="1286" width="15.28515625" style="27" customWidth="1"/>
    <col min="1287" max="1536" width="9.140625" style="27"/>
    <col min="1537" max="1537" width="6" style="27" customWidth="1"/>
    <col min="1538" max="1538" width="32.85546875" style="27" customWidth="1"/>
    <col min="1539" max="1539" width="4.85546875" style="27" customWidth="1"/>
    <col min="1540" max="1540" width="9.85546875" style="27" customWidth="1"/>
    <col min="1541" max="1541" width="14.140625" style="27" customWidth="1"/>
    <col min="1542" max="1542" width="15.28515625" style="27" customWidth="1"/>
    <col min="1543" max="1792" width="9.140625" style="27"/>
    <col min="1793" max="1793" width="6" style="27" customWidth="1"/>
    <col min="1794" max="1794" width="32.85546875" style="27" customWidth="1"/>
    <col min="1795" max="1795" width="4.85546875" style="27" customWidth="1"/>
    <col min="1796" max="1796" width="9.85546875" style="27" customWidth="1"/>
    <col min="1797" max="1797" width="14.140625" style="27" customWidth="1"/>
    <col min="1798" max="1798" width="15.28515625" style="27" customWidth="1"/>
    <col min="1799" max="2048" width="9.140625" style="27"/>
    <col min="2049" max="2049" width="6" style="27" customWidth="1"/>
    <col min="2050" max="2050" width="32.85546875" style="27" customWidth="1"/>
    <col min="2051" max="2051" width="4.85546875" style="27" customWidth="1"/>
    <col min="2052" max="2052" width="9.85546875" style="27" customWidth="1"/>
    <col min="2053" max="2053" width="14.140625" style="27" customWidth="1"/>
    <col min="2054" max="2054" width="15.28515625" style="27" customWidth="1"/>
    <col min="2055" max="2304" width="9.140625" style="27"/>
    <col min="2305" max="2305" width="6" style="27" customWidth="1"/>
    <col min="2306" max="2306" width="32.85546875" style="27" customWidth="1"/>
    <col min="2307" max="2307" width="4.85546875" style="27" customWidth="1"/>
    <col min="2308" max="2308" width="9.85546875" style="27" customWidth="1"/>
    <col min="2309" max="2309" width="14.140625" style="27" customWidth="1"/>
    <col min="2310" max="2310" width="15.28515625" style="27" customWidth="1"/>
    <col min="2311" max="2560" width="9.140625" style="27"/>
    <col min="2561" max="2561" width="6" style="27" customWidth="1"/>
    <col min="2562" max="2562" width="32.85546875" style="27" customWidth="1"/>
    <col min="2563" max="2563" width="4.85546875" style="27" customWidth="1"/>
    <col min="2564" max="2564" width="9.85546875" style="27" customWidth="1"/>
    <col min="2565" max="2565" width="14.140625" style="27" customWidth="1"/>
    <col min="2566" max="2566" width="15.28515625" style="27" customWidth="1"/>
    <col min="2567" max="2816" width="9.140625" style="27"/>
    <col min="2817" max="2817" width="6" style="27" customWidth="1"/>
    <col min="2818" max="2818" width="32.85546875" style="27" customWidth="1"/>
    <col min="2819" max="2819" width="4.85546875" style="27" customWidth="1"/>
    <col min="2820" max="2820" width="9.85546875" style="27" customWidth="1"/>
    <col min="2821" max="2821" width="14.140625" style="27" customWidth="1"/>
    <col min="2822" max="2822" width="15.28515625" style="27" customWidth="1"/>
    <col min="2823" max="3072" width="9.140625" style="27"/>
    <col min="3073" max="3073" width="6" style="27" customWidth="1"/>
    <col min="3074" max="3074" width="32.85546875" style="27" customWidth="1"/>
    <col min="3075" max="3075" width="4.85546875" style="27" customWidth="1"/>
    <col min="3076" max="3076" width="9.85546875" style="27" customWidth="1"/>
    <col min="3077" max="3077" width="14.140625" style="27" customWidth="1"/>
    <col min="3078" max="3078" width="15.28515625" style="27" customWidth="1"/>
    <col min="3079" max="3328" width="9.140625" style="27"/>
    <col min="3329" max="3329" width="6" style="27" customWidth="1"/>
    <col min="3330" max="3330" width="32.85546875" style="27" customWidth="1"/>
    <col min="3331" max="3331" width="4.85546875" style="27" customWidth="1"/>
    <col min="3332" max="3332" width="9.85546875" style="27" customWidth="1"/>
    <col min="3333" max="3333" width="14.140625" style="27" customWidth="1"/>
    <col min="3334" max="3334" width="15.28515625" style="27" customWidth="1"/>
    <col min="3335" max="3584" width="9.140625" style="27"/>
    <col min="3585" max="3585" width="6" style="27" customWidth="1"/>
    <col min="3586" max="3586" width="32.85546875" style="27" customWidth="1"/>
    <col min="3587" max="3587" width="4.85546875" style="27" customWidth="1"/>
    <col min="3588" max="3588" width="9.85546875" style="27" customWidth="1"/>
    <col min="3589" max="3589" width="14.140625" style="27" customWidth="1"/>
    <col min="3590" max="3590" width="15.28515625" style="27" customWidth="1"/>
    <col min="3591" max="3840" width="9.140625" style="27"/>
    <col min="3841" max="3841" width="6" style="27" customWidth="1"/>
    <col min="3842" max="3842" width="32.85546875" style="27" customWidth="1"/>
    <col min="3843" max="3843" width="4.85546875" style="27" customWidth="1"/>
    <col min="3844" max="3844" width="9.85546875" style="27" customWidth="1"/>
    <col min="3845" max="3845" width="14.140625" style="27" customWidth="1"/>
    <col min="3846" max="3846" width="15.28515625" style="27" customWidth="1"/>
    <col min="3847" max="4096" width="9.140625" style="27"/>
    <col min="4097" max="4097" width="6" style="27" customWidth="1"/>
    <col min="4098" max="4098" width="32.85546875" style="27" customWidth="1"/>
    <col min="4099" max="4099" width="4.85546875" style="27" customWidth="1"/>
    <col min="4100" max="4100" width="9.85546875" style="27" customWidth="1"/>
    <col min="4101" max="4101" width="14.140625" style="27" customWidth="1"/>
    <col min="4102" max="4102" width="15.28515625" style="27" customWidth="1"/>
    <col min="4103" max="4352" width="9.140625" style="27"/>
    <col min="4353" max="4353" width="6" style="27" customWidth="1"/>
    <col min="4354" max="4354" width="32.85546875" style="27" customWidth="1"/>
    <col min="4355" max="4355" width="4.85546875" style="27" customWidth="1"/>
    <col min="4356" max="4356" width="9.85546875" style="27" customWidth="1"/>
    <col min="4357" max="4357" width="14.140625" style="27" customWidth="1"/>
    <col min="4358" max="4358" width="15.28515625" style="27" customWidth="1"/>
    <col min="4359" max="4608" width="9.140625" style="27"/>
    <col min="4609" max="4609" width="6" style="27" customWidth="1"/>
    <col min="4610" max="4610" width="32.85546875" style="27" customWidth="1"/>
    <col min="4611" max="4611" width="4.85546875" style="27" customWidth="1"/>
    <col min="4612" max="4612" width="9.85546875" style="27" customWidth="1"/>
    <col min="4613" max="4613" width="14.140625" style="27" customWidth="1"/>
    <col min="4614" max="4614" width="15.28515625" style="27" customWidth="1"/>
    <col min="4615" max="4864" width="9.140625" style="27"/>
    <col min="4865" max="4865" width="6" style="27" customWidth="1"/>
    <col min="4866" max="4866" width="32.85546875" style="27" customWidth="1"/>
    <col min="4867" max="4867" width="4.85546875" style="27" customWidth="1"/>
    <col min="4868" max="4868" width="9.85546875" style="27" customWidth="1"/>
    <col min="4869" max="4869" width="14.140625" style="27" customWidth="1"/>
    <col min="4870" max="4870" width="15.28515625" style="27" customWidth="1"/>
    <col min="4871" max="5120" width="9.140625" style="27"/>
    <col min="5121" max="5121" width="6" style="27" customWidth="1"/>
    <col min="5122" max="5122" width="32.85546875" style="27" customWidth="1"/>
    <col min="5123" max="5123" width="4.85546875" style="27" customWidth="1"/>
    <col min="5124" max="5124" width="9.85546875" style="27" customWidth="1"/>
    <col min="5125" max="5125" width="14.140625" style="27" customWidth="1"/>
    <col min="5126" max="5126" width="15.28515625" style="27" customWidth="1"/>
    <col min="5127" max="5376" width="9.140625" style="27"/>
    <col min="5377" max="5377" width="6" style="27" customWidth="1"/>
    <col min="5378" max="5378" width="32.85546875" style="27" customWidth="1"/>
    <col min="5379" max="5379" width="4.85546875" style="27" customWidth="1"/>
    <col min="5380" max="5380" width="9.85546875" style="27" customWidth="1"/>
    <col min="5381" max="5381" width="14.140625" style="27" customWidth="1"/>
    <col min="5382" max="5382" width="15.28515625" style="27" customWidth="1"/>
    <col min="5383" max="5632" width="9.140625" style="27"/>
    <col min="5633" max="5633" width="6" style="27" customWidth="1"/>
    <col min="5634" max="5634" width="32.85546875" style="27" customWidth="1"/>
    <col min="5635" max="5635" width="4.85546875" style="27" customWidth="1"/>
    <col min="5636" max="5636" width="9.85546875" style="27" customWidth="1"/>
    <col min="5637" max="5637" width="14.140625" style="27" customWidth="1"/>
    <col min="5638" max="5638" width="15.28515625" style="27" customWidth="1"/>
    <col min="5639" max="5888" width="9.140625" style="27"/>
    <col min="5889" max="5889" width="6" style="27" customWidth="1"/>
    <col min="5890" max="5890" width="32.85546875" style="27" customWidth="1"/>
    <col min="5891" max="5891" width="4.85546875" style="27" customWidth="1"/>
    <col min="5892" max="5892" width="9.85546875" style="27" customWidth="1"/>
    <col min="5893" max="5893" width="14.140625" style="27" customWidth="1"/>
    <col min="5894" max="5894" width="15.28515625" style="27" customWidth="1"/>
    <col min="5895" max="6144" width="9.140625" style="27"/>
    <col min="6145" max="6145" width="6" style="27" customWidth="1"/>
    <col min="6146" max="6146" width="32.85546875" style="27" customWidth="1"/>
    <col min="6147" max="6147" width="4.85546875" style="27" customWidth="1"/>
    <col min="6148" max="6148" width="9.85546875" style="27" customWidth="1"/>
    <col min="6149" max="6149" width="14.140625" style="27" customWidth="1"/>
    <col min="6150" max="6150" width="15.28515625" style="27" customWidth="1"/>
    <col min="6151" max="6400" width="9.140625" style="27"/>
    <col min="6401" max="6401" width="6" style="27" customWidth="1"/>
    <col min="6402" max="6402" width="32.85546875" style="27" customWidth="1"/>
    <col min="6403" max="6403" width="4.85546875" style="27" customWidth="1"/>
    <col min="6404" max="6404" width="9.85546875" style="27" customWidth="1"/>
    <col min="6405" max="6405" width="14.140625" style="27" customWidth="1"/>
    <col min="6406" max="6406" width="15.28515625" style="27" customWidth="1"/>
    <col min="6407" max="6656" width="9.140625" style="27"/>
    <col min="6657" max="6657" width="6" style="27" customWidth="1"/>
    <col min="6658" max="6658" width="32.85546875" style="27" customWidth="1"/>
    <col min="6659" max="6659" width="4.85546875" style="27" customWidth="1"/>
    <col min="6660" max="6660" width="9.85546875" style="27" customWidth="1"/>
    <col min="6661" max="6661" width="14.140625" style="27" customWidth="1"/>
    <col min="6662" max="6662" width="15.28515625" style="27" customWidth="1"/>
    <col min="6663" max="6912" width="9.140625" style="27"/>
    <col min="6913" max="6913" width="6" style="27" customWidth="1"/>
    <col min="6914" max="6914" width="32.85546875" style="27" customWidth="1"/>
    <col min="6915" max="6915" width="4.85546875" style="27" customWidth="1"/>
    <col min="6916" max="6916" width="9.85546875" style="27" customWidth="1"/>
    <col min="6917" max="6917" width="14.140625" style="27" customWidth="1"/>
    <col min="6918" max="6918" width="15.28515625" style="27" customWidth="1"/>
    <col min="6919" max="7168" width="9.140625" style="27"/>
    <col min="7169" max="7169" width="6" style="27" customWidth="1"/>
    <col min="7170" max="7170" width="32.85546875" style="27" customWidth="1"/>
    <col min="7171" max="7171" width="4.85546875" style="27" customWidth="1"/>
    <col min="7172" max="7172" width="9.85546875" style="27" customWidth="1"/>
    <col min="7173" max="7173" width="14.140625" style="27" customWidth="1"/>
    <col min="7174" max="7174" width="15.28515625" style="27" customWidth="1"/>
    <col min="7175" max="7424" width="9.140625" style="27"/>
    <col min="7425" max="7425" width="6" style="27" customWidth="1"/>
    <col min="7426" max="7426" width="32.85546875" style="27" customWidth="1"/>
    <col min="7427" max="7427" width="4.85546875" style="27" customWidth="1"/>
    <col min="7428" max="7428" width="9.85546875" style="27" customWidth="1"/>
    <col min="7429" max="7429" width="14.140625" style="27" customWidth="1"/>
    <col min="7430" max="7430" width="15.28515625" style="27" customWidth="1"/>
    <col min="7431" max="7680" width="9.140625" style="27"/>
    <col min="7681" max="7681" width="6" style="27" customWidth="1"/>
    <col min="7682" max="7682" width="32.85546875" style="27" customWidth="1"/>
    <col min="7683" max="7683" width="4.85546875" style="27" customWidth="1"/>
    <col min="7684" max="7684" width="9.85546875" style="27" customWidth="1"/>
    <col min="7685" max="7685" width="14.140625" style="27" customWidth="1"/>
    <col min="7686" max="7686" width="15.28515625" style="27" customWidth="1"/>
    <col min="7687" max="7936" width="9.140625" style="27"/>
    <col min="7937" max="7937" width="6" style="27" customWidth="1"/>
    <col min="7938" max="7938" width="32.85546875" style="27" customWidth="1"/>
    <col min="7939" max="7939" width="4.85546875" style="27" customWidth="1"/>
    <col min="7940" max="7940" width="9.85546875" style="27" customWidth="1"/>
    <col min="7941" max="7941" width="14.140625" style="27" customWidth="1"/>
    <col min="7942" max="7942" width="15.28515625" style="27" customWidth="1"/>
    <col min="7943" max="8192" width="9.140625" style="27"/>
    <col min="8193" max="8193" width="6" style="27" customWidth="1"/>
    <col min="8194" max="8194" width="32.85546875" style="27" customWidth="1"/>
    <col min="8195" max="8195" width="4.85546875" style="27" customWidth="1"/>
    <col min="8196" max="8196" width="9.85546875" style="27" customWidth="1"/>
    <col min="8197" max="8197" width="14.140625" style="27" customWidth="1"/>
    <col min="8198" max="8198" width="15.28515625" style="27" customWidth="1"/>
    <col min="8199" max="8448" width="9.140625" style="27"/>
    <col min="8449" max="8449" width="6" style="27" customWidth="1"/>
    <col min="8450" max="8450" width="32.85546875" style="27" customWidth="1"/>
    <col min="8451" max="8451" width="4.85546875" style="27" customWidth="1"/>
    <col min="8452" max="8452" width="9.85546875" style="27" customWidth="1"/>
    <col min="8453" max="8453" width="14.140625" style="27" customWidth="1"/>
    <col min="8454" max="8454" width="15.28515625" style="27" customWidth="1"/>
    <col min="8455" max="8704" width="9.140625" style="27"/>
    <col min="8705" max="8705" width="6" style="27" customWidth="1"/>
    <col min="8706" max="8706" width="32.85546875" style="27" customWidth="1"/>
    <col min="8707" max="8707" width="4.85546875" style="27" customWidth="1"/>
    <col min="8708" max="8708" width="9.85546875" style="27" customWidth="1"/>
    <col min="8709" max="8709" width="14.140625" style="27" customWidth="1"/>
    <col min="8710" max="8710" width="15.28515625" style="27" customWidth="1"/>
    <col min="8711" max="8960" width="9.140625" style="27"/>
    <col min="8961" max="8961" width="6" style="27" customWidth="1"/>
    <col min="8962" max="8962" width="32.85546875" style="27" customWidth="1"/>
    <col min="8963" max="8963" width="4.85546875" style="27" customWidth="1"/>
    <col min="8964" max="8964" width="9.85546875" style="27" customWidth="1"/>
    <col min="8965" max="8965" width="14.140625" style="27" customWidth="1"/>
    <col min="8966" max="8966" width="15.28515625" style="27" customWidth="1"/>
    <col min="8967" max="9216" width="9.140625" style="27"/>
    <col min="9217" max="9217" width="6" style="27" customWidth="1"/>
    <col min="9218" max="9218" width="32.85546875" style="27" customWidth="1"/>
    <col min="9219" max="9219" width="4.85546875" style="27" customWidth="1"/>
    <col min="9220" max="9220" width="9.85546875" style="27" customWidth="1"/>
    <col min="9221" max="9221" width="14.140625" style="27" customWidth="1"/>
    <col min="9222" max="9222" width="15.28515625" style="27" customWidth="1"/>
    <col min="9223" max="9472" width="9.140625" style="27"/>
    <col min="9473" max="9473" width="6" style="27" customWidth="1"/>
    <col min="9474" max="9474" width="32.85546875" style="27" customWidth="1"/>
    <col min="9475" max="9475" width="4.85546875" style="27" customWidth="1"/>
    <col min="9476" max="9476" width="9.85546875" style="27" customWidth="1"/>
    <col min="9477" max="9477" width="14.140625" style="27" customWidth="1"/>
    <col min="9478" max="9478" width="15.28515625" style="27" customWidth="1"/>
    <col min="9479" max="9728" width="9.140625" style="27"/>
    <col min="9729" max="9729" width="6" style="27" customWidth="1"/>
    <col min="9730" max="9730" width="32.85546875" style="27" customWidth="1"/>
    <col min="9731" max="9731" width="4.85546875" style="27" customWidth="1"/>
    <col min="9732" max="9732" width="9.85546875" style="27" customWidth="1"/>
    <col min="9733" max="9733" width="14.140625" style="27" customWidth="1"/>
    <col min="9734" max="9734" width="15.28515625" style="27" customWidth="1"/>
    <col min="9735" max="9984" width="9.140625" style="27"/>
    <col min="9985" max="9985" width="6" style="27" customWidth="1"/>
    <col min="9986" max="9986" width="32.85546875" style="27" customWidth="1"/>
    <col min="9987" max="9987" width="4.85546875" style="27" customWidth="1"/>
    <col min="9988" max="9988" width="9.85546875" style="27" customWidth="1"/>
    <col min="9989" max="9989" width="14.140625" style="27" customWidth="1"/>
    <col min="9990" max="9990" width="15.28515625" style="27" customWidth="1"/>
    <col min="9991" max="10240" width="9.140625" style="27"/>
    <col min="10241" max="10241" width="6" style="27" customWidth="1"/>
    <col min="10242" max="10242" width="32.85546875" style="27" customWidth="1"/>
    <col min="10243" max="10243" width="4.85546875" style="27" customWidth="1"/>
    <col min="10244" max="10244" width="9.85546875" style="27" customWidth="1"/>
    <col min="10245" max="10245" width="14.140625" style="27" customWidth="1"/>
    <col min="10246" max="10246" width="15.28515625" style="27" customWidth="1"/>
    <col min="10247" max="10496" width="9.140625" style="27"/>
    <col min="10497" max="10497" width="6" style="27" customWidth="1"/>
    <col min="10498" max="10498" width="32.85546875" style="27" customWidth="1"/>
    <col min="10499" max="10499" width="4.85546875" style="27" customWidth="1"/>
    <col min="10500" max="10500" width="9.85546875" style="27" customWidth="1"/>
    <col min="10501" max="10501" width="14.140625" style="27" customWidth="1"/>
    <col min="10502" max="10502" width="15.28515625" style="27" customWidth="1"/>
    <col min="10503" max="10752" width="9.140625" style="27"/>
    <col min="10753" max="10753" width="6" style="27" customWidth="1"/>
    <col min="10754" max="10754" width="32.85546875" style="27" customWidth="1"/>
    <col min="10755" max="10755" width="4.85546875" style="27" customWidth="1"/>
    <col min="10756" max="10756" width="9.85546875" style="27" customWidth="1"/>
    <col min="10757" max="10757" width="14.140625" style="27" customWidth="1"/>
    <col min="10758" max="10758" width="15.28515625" style="27" customWidth="1"/>
    <col min="10759" max="11008" width="9.140625" style="27"/>
    <col min="11009" max="11009" width="6" style="27" customWidth="1"/>
    <col min="11010" max="11010" width="32.85546875" style="27" customWidth="1"/>
    <col min="11011" max="11011" width="4.85546875" style="27" customWidth="1"/>
    <col min="11012" max="11012" width="9.85546875" style="27" customWidth="1"/>
    <col min="11013" max="11013" width="14.140625" style="27" customWidth="1"/>
    <col min="11014" max="11014" width="15.28515625" style="27" customWidth="1"/>
    <col min="11015" max="11264" width="9.140625" style="27"/>
    <col min="11265" max="11265" width="6" style="27" customWidth="1"/>
    <col min="11266" max="11266" width="32.85546875" style="27" customWidth="1"/>
    <col min="11267" max="11267" width="4.85546875" style="27" customWidth="1"/>
    <col min="11268" max="11268" width="9.85546875" style="27" customWidth="1"/>
    <col min="11269" max="11269" width="14.140625" style="27" customWidth="1"/>
    <col min="11270" max="11270" width="15.28515625" style="27" customWidth="1"/>
    <col min="11271" max="11520" width="9.140625" style="27"/>
    <col min="11521" max="11521" width="6" style="27" customWidth="1"/>
    <col min="11522" max="11522" width="32.85546875" style="27" customWidth="1"/>
    <col min="11523" max="11523" width="4.85546875" style="27" customWidth="1"/>
    <col min="11524" max="11524" width="9.85546875" style="27" customWidth="1"/>
    <col min="11525" max="11525" width="14.140625" style="27" customWidth="1"/>
    <col min="11526" max="11526" width="15.28515625" style="27" customWidth="1"/>
    <col min="11527" max="11776" width="9.140625" style="27"/>
    <col min="11777" max="11777" width="6" style="27" customWidth="1"/>
    <col min="11778" max="11778" width="32.85546875" style="27" customWidth="1"/>
    <col min="11779" max="11779" width="4.85546875" style="27" customWidth="1"/>
    <col min="11780" max="11780" width="9.85546875" style="27" customWidth="1"/>
    <col min="11781" max="11781" width="14.140625" style="27" customWidth="1"/>
    <col min="11782" max="11782" width="15.28515625" style="27" customWidth="1"/>
    <col min="11783" max="12032" width="9.140625" style="27"/>
    <col min="12033" max="12033" width="6" style="27" customWidth="1"/>
    <col min="12034" max="12034" width="32.85546875" style="27" customWidth="1"/>
    <col min="12035" max="12035" width="4.85546875" style="27" customWidth="1"/>
    <col min="12036" max="12036" width="9.85546875" style="27" customWidth="1"/>
    <col min="12037" max="12037" width="14.140625" style="27" customWidth="1"/>
    <col min="12038" max="12038" width="15.28515625" style="27" customWidth="1"/>
    <col min="12039" max="12288" width="9.140625" style="27"/>
    <col min="12289" max="12289" width="6" style="27" customWidth="1"/>
    <col min="12290" max="12290" width="32.85546875" style="27" customWidth="1"/>
    <col min="12291" max="12291" width="4.85546875" style="27" customWidth="1"/>
    <col min="12292" max="12292" width="9.85546875" style="27" customWidth="1"/>
    <col min="12293" max="12293" width="14.140625" style="27" customWidth="1"/>
    <col min="12294" max="12294" width="15.28515625" style="27" customWidth="1"/>
    <col min="12295" max="12544" width="9.140625" style="27"/>
    <col min="12545" max="12545" width="6" style="27" customWidth="1"/>
    <col min="12546" max="12546" width="32.85546875" style="27" customWidth="1"/>
    <col min="12547" max="12547" width="4.85546875" style="27" customWidth="1"/>
    <col min="12548" max="12548" width="9.85546875" style="27" customWidth="1"/>
    <col min="12549" max="12549" width="14.140625" style="27" customWidth="1"/>
    <col min="12550" max="12550" width="15.28515625" style="27" customWidth="1"/>
    <col min="12551" max="12800" width="9.140625" style="27"/>
    <col min="12801" max="12801" width="6" style="27" customWidth="1"/>
    <col min="12802" max="12802" width="32.85546875" style="27" customWidth="1"/>
    <col min="12803" max="12803" width="4.85546875" style="27" customWidth="1"/>
    <col min="12804" max="12804" width="9.85546875" style="27" customWidth="1"/>
    <col min="12805" max="12805" width="14.140625" style="27" customWidth="1"/>
    <col min="12806" max="12806" width="15.28515625" style="27" customWidth="1"/>
    <col min="12807" max="13056" width="9.140625" style="27"/>
    <col min="13057" max="13057" width="6" style="27" customWidth="1"/>
    <col min="13058" max="13058" width="32.85546875" style="27" customWidth="1"/>
    <col min="13059" max="13059" width="4.85546875" style="27" customWidth="1"/>
    <col min="13060" max="13060" width="9.85546875" style="27" customWidth="1"/>
    <col min="13061" max="13061" width="14.140625" style="27" customWidth="1"/>
    <col min="13062" max="13062" width="15.28515625" style="27" customWidth="1"/>
    <col min="13063" max="13312" width="9.140625" style="27"/>
    <col min="13313" max="13313" width="6" style="27" customWidth="1"/>
    <col min="13314" max="13314" width="32.85546875" style="27" customWidth="1"/>
    <col min="13315" max="13315" width="4.85546875" style="27" customWidth="1"/>
    <col min="13316" max="13316" width="9.85546875" style="27" customWidth="1"/>
    <col min="13317" max="13317" width="14.140625" style="27" customWidth="1"/>
    <col min="13318" max="13318" width="15.28515625" style="27" customWidth="1"/>
    <col min="13319" max="13568" width="9.140625" style="27"/>
    <col min="13569" max="13569" width="6" style="27" customWidth="1"/>
    <col min="13570" max="13570" width="32.85546875" style="27" customWidth="1"/>
    <col min="13571" max="13571" width="4.85546875" style="27" customWidth="1"/>
    <col min="13572" max="13572" width="9.85546875" style="27" customWidth="1"/>
    <col min="13573" max="13573" width="14.140625" style="27" customWidth="1"/>
    <col min="13574" max="13574" width="15.28515625" style="27" customWidth="1"/>
    <col min="13575" max="13824" width="9.140625" style="27"/>
    <col min="13825" max="13825" width="6" style="27" customWidth="1"/>
    <col min="13826" max="13826" width="32.85546875" style="27" customWidth="1"/>
    <col min="13827" max="13827" width="4.85546875" style="27" customWidth="1"/>
    <col min="13828" max="13828" width="9.85546875" style="27" customWidth="1"/>
    <col min="13829" max="13829" width="14.140625" style="27" customWidth="1"/>
    <col min="13830" max="13830" width="15.28515625" style="27" customWidth="1"/>
    <col min="13831" max="14080" width="9.140625" style="27"/>
    <col min="14081" max="14081" width="6" style="27" customWidth="1"/>
    <col min="14082" max="14082" width="32.85546875" style="27" customWidth="1"/>
    <col min="14083" max="14083" width="4.85546875" style="27" customWidth="1"/>
    <col min="14084" max="14084" width="9.85546875" style="27" customWidth="1"/>
    <col min="14085" max="14085" width="14.140625" style="27" customWidth="1"/>
    <col min="14086" max="14086" width="15.28515625" style="27" customWidth="1"/>
    <col min="14087" max="14336" width="9.140625" style="27"/>
    <col min="14337" max="14337" width="6" style="27" customWidth="1"/>
    <col min="14338" max="14338" width="32.85546875" style="27" customWidth="1"/>
    <col min="14339" max="14339" width="4.85546875" style="27" customWidth="1"/>
    <col min="14340" max="14340" width="9.85546875" style="27" customWidth="1"/>
    <col min="14341" max="14341" width="14.140625" style="27" customWidth="1"/>
    <col min="14342" max="14342" width="15.28515625" style="27" customWidth="1"/>
    <col min="14343" max="14592" width="9.140625" style="27"/>
    <col min="14593" max="14593" width="6" style="27" customWidth="1"/>
    <col min="14594" max="14594" width="32.85546875" style="27" customWidth="1"/>
    <col min="14595" max="14595" width="4.85546875" style="27" customWidth="1"/>
    <col min="14596" max="14596" width="9.85546875" style="27" customWidth="1"/>
    <col min="14597" max="14597" width="14.140625" style="27" customWidth="1"/>
    <col min="14598" max="14598" width="15.28515625" style="27" customWidth="1"/>
    <col min="14599" max="14848" width="9.140625" style="27"/>
    <col min="14849" max="14849" width="6" style="27" customWidth="1"/>
    <col min="14850" max="14850" width="32.85546875" style="27" customWidth="1"/>
    <col min="14851" max="14851" width="4.85546875" style="27" customWidth="1"/>
    <col min="14852" max="14852" width="9.85546875" style="27" customWidth="1"/>
    <col min="14853" max="14853" width="14.140625" style="27" customWidth="1"/>
    <col min="14854" max="14854" width="15.28515625" style="27" customWidth="1"/>
    <col min="14855" max="15104" width="9.140625" style="27"/>
    <col min="15105" max="15105" width="6" style="27" customWidth="1"/>
    <col min="15106" max="15106" width="32.85546875" style="27" customWidth="1"/>
    <col min="15107" max="15107" width="4.85546875" style="27" customWidth="1"/>
    <col min="15108" max="15108" width="9.85546875" style="27" customWidth="1"/>
    <col min="15109" max="15109" width="14.140625" style="27" customWidth="1"/>
    <col min="15110" max="15110" width="15.28515625" style="27" customWidth="1"/>
    <col min="15111" max="15360" width="9.140625" style="27"/>
    <col min="15361" max="15361" width="6" style="27" customWidth="1"/>
    <col min="15362" max="15362" width="32.85546875" style="27" customWidth="1"/>
    <col min="15363" max="15363" width="4.85546875" style="27" customWidth="1"/>
    <col min="15364" max="15364" width="9.85546875" style="27" customWidth="1"/>
    <col min="15365" max="15365" width="14.140625" style="27" customWidth="1"/>
    <col min="15366" max="15366" width="15.28515625" style="27" customWidth="1"/>
    <col min="15367" max="15616" width="9.140625" style="27"/>
    <col min="15617" max="15617" width="6" style="27" customWidth="1"/>
    <col min="15618" max="15618" width="32.85546875" style="27" customWidth="1"/>
    <col min="15619" max="15619" width="4.85546875" style="27" customWidth="1"/>
    <col min="15620" max="15620" width="9.85546875" style="27" customWidth="1"/>
    <col min="15621" max="15621" width="14.140625" style="27" customWidth="1"/>
    <col min="15622" max="15622" width="15.28515625" style="27" customWidth="1"/>
    <col min="15623" max="15872" width="9.140625" style="27"/>
    <col min="15873" max="15873" width="6" style="27" customWidth="1"/>
    <col min="15874" max="15874" width="32.85546875" style="27" customWidth="1"/>
    <col min="15875" max="15875" width="4.85546875" style="27" customWidth="1"/>
    <col min="15876" max="15876" width="9.85546875" style="27" customWidth="1"/>
    <col min="15877" max="15877" width="14.140625" style="27" customWidth="1"/>
    <col min="15878" max="15878" width="15.28515625" style="27" customWidth="1"/>
    <col min="15879" max="16128" width="9.140625" style="27"/>
    <col min="16129" max="16129" width="6" style="27" customWidth="1"/>
    <col min="16130" max="16130" width="32.85546875" style="27" customWidth="1"/>
    <col min="16131" max="16131" width="4.85546875" style="27" customWidth="1"/>
    <col min="16132" max="16132" width="9.85546875" style="27" customWidth="1"/>
    <col min="16133" max="16133" width="14.140625" style="27" customWidth="1"/>
    <col min="16134" max="16134" width="15.28515625" style="27" customWidth="1"/>
    <col min="16135" max="16384" width="9.140625" style="27"/>
  </cols>
  <sheetData>
    <row r="1" spans="1:6">
      <c r="A1" s="349" t="s">
        <v>263</v>
      </c>
      <c r="B1" s="350" t="s">
        <v>264</v>
      </c>
      <c r="C1" s="350" t="s">
        <v>265</v>
      </c>
      <c r="D1" s="350" t="s">
        <v>266</v>
      </c>
      <c r="E1" s="350" t="s">
        <v>267</v>
      </c>
      <c r="F1" s="351" t="s">
        <v>268</v>
      </c>
    </row>
    <row r="2" spans="1:6">
      <c r="A2" s="352"/>
      <c r="B2" s="353"/>
      <c r="C2" s="353"/>
      <c r="D2" s="354"/>
    </row>
    <row r="3" spans="1:6">
      <c r="A3" s="418" t="s">
        <v>388</v>
      </c>
      <c r="B3" s="419"/>
      <c r="C3" s="419"/>
      <c r="D3" s="420"/>
      <c r="E3" s="419"/>
      <c r="F3" s="421"/>
    </row>
    <row r="4" spans="1:6">
      <c r="D4" s="354"/>
    </row>
    <row r="5" spans="1:6">
      <c r="A5" s="352">
        <v>1</v>
      </c>
      <c r="B5" s="353" t="s">
        <v>269</v>
      </c>
      <c r="C5" s="353" t="s">
        <v>187</v>
      </c>
      <c r="D5" s="354">
        <v>1</v>
      </c>
      <c r="E5" s="535"/>
      <c r="F5" s="477">
        <f>(D5*E5)</f>
        <v>0</v>
      </c>
    </row>
    <row r="6" spans="1:6">
      <c r="A6" s="352"/>
      <c r="B6" s="353"/>
      <c r="C6" s="353"/>
      <c r="D6" s="354"/>
      <c r="E6" s="476"/>
      <c r="F6" s="477"/>
    </row>
    <row r="7" spans="1:6">
      <c r="A7" s="352"/>
      <c r="B7" s="353"/>
      <c r="C7" s="353"/>
      <c r="D7" s="354"/>
      <c r="E7" s="476"/>
      <c r="F7" s="477"/>
    </row>
    <row r="8" spans="1:6">
      <c r="A8" s="352">
        <v>2</v>
      </c>
      <c r="B8" s="353" t="s">
        <v>270</v>
      </c>
      <c r="D8" s="354"/>
      <c r="E8" s="476"/>
      <c r="F8" s="477"/>
    </row>
    <row r="9" spans="1:6">
      <c r="A9" s="352"/>
      <c r="B9" s="353" t="s">
        <v>271</v>
      </c>
      <c r="D9" s="354"/>
      <c r="E9" s="476"/>
      <c r="F9" s="477"/>
    </row>
    <row r="10" spans="1:6">
      <c r="A10" s="352"/>
      <c r="B10" s="353" t="s">
        <v>272</v>
      </c>
      <c r="D10" s="354"/>
      <c r="E10" s="476"/>
      <c r="F10" s="477"/>
    </row>
    <row r="11" spans="1:6">
      <c r="A11" s="352"/>
      <c r="B11" s="353" t="s">
        <v>273</v>
      </c>
      <c r="E11" s="476"/>
      <c r="F11" s="477"/>
    </row>
    <row r="12" spans="1:6">
      <c r="A12" s="352"/>
      <c r="B12" s="353" t="s">
        <v>274</v>
      </c>
      <c r="E12" s="476"/>
      <c r="F12" s="477"/>
    </row>
    <row r="13" spans="1:6">
      <c r="B13" s="355" t="s">
        <v>275</v>
      </c>
      <c r="E13" s="476"/>
      <c r="F13" s="477"/>
    </row>
    <row r="14" spans="1:6">
      <c r="E14" s="476"/>
      <c r="F14" s="477"/>
    </row>
    <row r="15" spans="1:6">
      <c r="B15" s="355" t="s">
        <v>276</v>
      </c>
      <c r="C15" s="353" t="s">
        <v>277</v>
      </c>
      <c r="D15" s="354">
        <f>4.5*4.5*2</f>
        <v>40.5</v>
      </c>
      <c r="E15" s="535"/>
      <c r="F15" s="477">
        <f>(D15*E15)</f>
        <v>0</v>
      </c>
    </row>
    <row r="16" spans="1:6">
      <c r="C16" s="353"/>
      <c r="D16" s="354"/>
      <c r="E16" s="476"/>
      <c r="F16" s="477"/>
    </row>
    <row r="17" spans="1:6">
      <c r="B17" s="355" t="s">
        <v>278</v>
      </c>
      <c r="C17" s="353" t="s">
        <v>277</v>
      </c>
      <c r="D17" s="354">
        <f>4.5*4.5*1.6</f>
        <v>32.4</v>
      </c>
      <c r="E17" s="535"/>
      <c r="F17" s="477">
        <f>(D17*E17)</f>
        <v>0</v>
      </c>
    </row>
    <row r="18" spans="1:6">
      <c r="C18" s="353"/>
      <c r="D18" s="354"/>
      <c r="E18" s="476"/>
      <c r="F18" s="477"/>
    </row>
    <row r="19" spans="1:6">
      <c r="E19" s="476"/>
      <c r="F19" s="477"/>
    </row>
    <row r="20" spans="1:6">
      <c r="A20" s="352">
        <v>3</v>
      </c>
      <c r="B20" s="353" t="s">
        <v>279</v>
      </c>
      <c r="C20" s="353"/>
      <c r="D20" s="354"/>
      <c r="E20" s="476"/>
      <c r="F20" s="477"/>
    </row>
    <row r="21" spans="1:6">
      <c r="A21" s="352"/>
      <c r="B21" s="353" t="s">
        <v>280</v>
      </c>
      <c r="E21" s="476"/>
      <c r="F21" s="477"/>
    </row>
    <row r="22" spans="1:6">
      <c r="B22" s="355" t="s">
        <v>370</v>
      </c>
      <c r="C22" s="353" t="s">
        <v>277</v>
      </c>
      <c r="D22" s="354">
        <f>(D15+D17)*1.25</f>
        <v>91.125</v>
      </c>
      <c r="E22" s="535"/>
      <c r="F22" s="477">
        <f>(D22*E22)</f>
        <v>0</v>
      </c>
    </row>
    <row r="23" spans="1:6">
      <c r="C23" s="353"/>
      <c r="D23" s="354"/>
      <c r="E23" s="476"/>
      <c r="F23" s="477"/>
    </row>
    <row r="24" spans="1:6">
      <c r="E24" s="476"/>
      <c r="F24" s="477"/>
    </row>
    <row r="25" spans="1:6">
      <c r="A25" s="352">
        <v>4</v>
      </c>
      <c r="B25" s="353" t="s">
        <v>281</v>
      </c>
      <c r="E25" s="476"/>
      <c r="F25" s="477"/>
    </row>
    <row r="26" spans="1:6">
      <c r="A26" s="352"/>
      <c r="B26" s="353" t="s">
        <v>282</v>
      </c>
      <c r="E26" s="476"/>
      <c r="F26" s="477"/>
    </row>
    <row r="27" spans="1:6">
      <c r="B27" s="355" t="s">
        <v>283</v>
      </c>
      <c r="C27" s="353" t="s">
        <v>284</v>
      </c>
      <c r="D27" s="354">
        <v>72</v>
      </c>
      <c r="E27" s="535"/>
      <c r="F27" s="477">
        <f>(D27*E27)</f>
        <v>0</v>
      </c>
    </row>
    <row r="28" spans="1:6">
      <c r="E28" s="476"/>
      <c r="F28" s="477"/>
    </row>
    <row r="29" spans="1:6">
      <c r="E29" s="476"/>
      <c r="F29" s="477"/>
    </row>
    <row r="30" spans="1:6">
      <c r="A30" s="352">
        <v>5</v>
      </c>
      <c r="B30" s="353" t="s">
        <v>285</v>
      </c>
      <c r="E30" s="476"/>
      <c r="F30" s="477"/>
    </row>
    <row r="31" spans="1:6">
      <c r="A31" s="352"/>
      <c r="B31" s="353" t="s">
        <v>286</v>
      </c>
      <c r="C31" s="353" t="s">
        <v>284</v>
      </c>
      <c r="D31" s="354">
        <f>4.5*4.5</f>
        <v>20.25</v>
      </c>
      <c r="E31" s="535"/>
      <c r="F31" s="477">
        <f>(D31*E31)</f>
        <v>0</v>
      </c>
    </row>
    <row r="32" spans="1:6">
      <c r="A32" s="352"/>
      <c r="B32" s="353"/>
      <c r="C32" s="353"/>
      <c r="D32" s="354"/>
      <c r="E32" s="476"/>
      <c r="F32" s="477"/>
    </row>
    <row r="33" spans="1:6">
      <c r="A33" s="352"/>
      <c r="B33" s="353"/>
      <c r="C33" s="353"/>
      <c r="D33" s="354"/>
      <c r="E33" s="476"/>
      <c r="F33" s="477"/>
    </row>
    <row r="34" spans="1:6">
      <c r="A34" s="352">
        <v>6</v>
      </c>
      <c r="B34" s="353" t="s">
        <v>287</v>
      </c>
      <c r="E34" s="476"/>
      <c r="F34" s="477"/>
    </row>
    <row r="35" spans="1:6">
      <c r="A35" s="352"/>
      <c r="B35" s="353" t="s">
        <v>288</v>
      </c>
      <c r="C35" s="353" t="s">
        <v>284</v>
      </c>
      <c r="D35" s="354">
        <f>4.5*4.5*0.15</f>
        <v>3.0375000000000001</v>
      </c>
      <c r="E35" s="535"/>
      <c r="F35" s="477">
        <f>(D35*E35)</f>
        <v>0</v>
      </c>
    </row>
    <row r="36" spans="1:6">
      <c r="A36" s="352"/>
      <c r="B36" s="353"/>
      <c r="C36" s="353"/>
      <c r="D36" s="354"/>
      <c r="E36" s="476"/>
      <c r="F36" s="477"/>
    </row>
    <row r="37" spans="1:6">
      <c r="A37" s="352"/>
      <c r="B37" s="353"/>
      <c r="C37" s="353"/>
      <c r="D37" s="354"/>
      <c r="E37" s="476"/>
      <c r="F37" s="477"/>
    </row>
    <row r="38" spans="1:6">
      <c r="A38" s="352">
        <v>7</v>
      </c>
      <c r="B38" s="353" t="s">
        <v>289</v>
      </c>
      <c r="C38" s="353"/>
      <c r="D38" s="354"/>
      <c r="E38" s="476"/>
      <c r="F38" s="477"/>
    </row>
    <row r="39" spans="1:6">
      <c r="A39" s="352"/>
      <c r="B39" s="353" t="s">
        <v>400</v>
      </c>
      <c r="C39" s="353"/>
      <c r="D39" s="354"/>
      <c r="E39" s="476"/>
      <c r="F39" s="477"/>
    </row>
    <row r="40" spans="1:6">
      <c r="A40" s="352"/>
      <c r="B40" s="353" t="s">
        <v>290</v>
      </c>
      <c r="C40" s="353"/>
      <c r="D40" s="354"/>
      <c r="E40" s="476"/>
      <c r="F40" s="477"/>
    </row>
    <row r="41" spans="1:6">
      <c r="A41" s="352"/>
      <c r="B41" s="358" t="s">
        <v>371</v>
      </c>
      <c r="C41" s="353"/>
      <c r="D41" s="354"/>
      <c r="E41" s="476"/>
      <c r="F41" s="477"/>
    </row>
    <row r="42" spans="1:6">
      <c r="A42" s="352"/>
      <c r="B42" s="353"/>
      <c r="C42" s="353"/>
      <c r="D42" s="354"/>
      <c r="E42" s="476"/>
      <c r="F42" s="477"/>
    </row>
    <row r="43" spans="1:6">
      <c r="A43" s="352"/>
      <c r="B43" s="359" t="s">
        <v>291</v>
      </c>
      <c r="C43" s="353"/>
      <c r="D43" s="354"/>
      <c r="E43" s="476"/>
      <c r="F43" s="477"/>
    </row>
    <row r="44" spans="1:6">
      <c r="A44" s="352"/>
      <c r="B44" s="360" t="s">
        <v>292</v>
      </c>
      <c r="C44" s="353"/>
      <c r="D44" s="354"/>
      <c r="E44" s="476"/>
      <c r="F44" s="477"/>
    </row>
    <row r="45" spans="1:6">
      <c r="A45" s="352"/>
      <c r="B45" s="353" t="s">
        <v>293</v>
      </c>
      <c r="C45" s="353"/>
      <c r="D45" s="354"/>
      <c r="E45" s="476"/>
      <c r="F45" s="477"/>
    </row>
    <row r="46" spans="1:6">
      <c r="A46" s="352"/>
      <c r="B46" s="353" t="s">
        <v>294</v>
      </c>
      <c r="C46" s="353"/>
      <c r="D46" s="354"/>
      <c r="E46" s="476"/>
      <c r="F46" s="477"/>
    </row>
    <row r="47" spans="1:6">
      <c r="A47" s="352"/>
      <c r="B47" s="353" t="s">
        <v>295</v>
      </c>
      <c r="C47" s="353"/>
      <c r="D47" s="354"/>
      <c r="E47" s="476"/>
      <c r="F47" s="477"/>
    </row>
    <row r="48" spans="1:6">
      <c r="A48" s="352"/>
      <c r="B48" s="353" t="s">
        <v>296</v>
      </c>
      <c r="C48" s="353"/>
      <c r="D48" s="354"/>
      <c r="E48" s="476"/>
      <c r="F48" s="477"/>
    </row>
    <row r="49" spans="1:6">
      <c r="A49" s="352"/>
      <c r="B49" s="353" t="s">
        <v>297</v>
      </c>
      <c r="C49" s="353"/>
      <c r="D49" s="354"/>
      <c r="E49" s="476"/>
      <c r="F49" s="477"/>
    </row>
    <row r="50" spans="1:6">
      <c r="A50" s="352"/>
      <c r="B50" s="353" t="s">
        <v>298</v>
      </c>
      <c r="E50" s="476"/>
      <c r="F50" s="477"/>
    </row>
    <row r="51" spans="1:6">
      <c r="A51" s="352"/>
      <c r="B51" s="353" t="s">
        <v>299</v>
      </c>
      <c r="E51" s="476"/>
      <c r="F51" s="477"/>
    </row>
    <row r="52" spans="1:6">
      <c r="A52" s="352"/>
      <c r="B52" s="355" t="s">
        <v>300</v>
      </c>
      <c r="C52" s="353" t="s">
        <v>372</v>
      </c>
      <c r="D52" s="354">
        <v>1</v>
      </c>
      <c r="E52" s="535"/>
      <c r="F52" s="477">
        <f>(D52*E52)</f>
        <v>0</v>
      </c>
    </row>
    <row r="53" spans="1:6">
      <c r="A53" s="352"/>
      <c r="E53" s="476"/>
      <c r="F53" s="477"/>
    </row>
    <row r="54" spans="1:6">
      <c r="A54" s="352"/>
      <c r="B54" s="359" t="s">
        <v>301</v>
      </c>
      <c r="C54" s="353"/>
      <c r="D54" s="354"/>
      <c r="E54" s="476"/>
      <c r="F54" s="477"/>
    </row>
    <row r="55" spans="1:6">
      <c r="A55" s="352"/>
      <c r="B55" s="353" t="s">
        <v>302</v>
      </c>
      <c r="C55" s="353"/>
      <c r="D55" s="354"/>
      <c r="E55" s="476"/>
      <c r="F55" s="477"/>
    </row>
    <row r="56" spans="1:6">
      <c r="A56" s="352"/>
      <c r="B56" s="353" t="s">
        <v>399</v>
      </c>
      <c r="E56" s="476"/>
      <c r="F56" s="477"/>
    </row>
    <row r="57" spans="1:6">
      <c r="A57" s="352"/>
      <c r="B57" s="353" t="s">
        <v>466</v>
      </c>
      <c r="E57" s="476"/>
      <c r="F57" s="477"/>
    </row>
    <row r="58" spans="1:6">
      <c r="A58" s="352"/>
      <c r="B58" s="353" t="s">
        <v>303</v>
      </c>
      <c r="E58" s="476"/>
      <c r="F58" s="477"/>
    </row>
    <row r="59" spans="1:6">
      <c r="A59" s="352"/>
      <c r="B59" s="353" t="s">
        <v>467</v>
      </c>
      <c r="E59" s="476"/>
      <c r="F59" s="477"/>
    </row>
    <row r="60" spans="1:6">
      <c r="A60" s="352"/>
      <c r="B60" s="361" t="s">
        <v>304</v>
      </c>
      <c r="C60" s="353"/>
      <c r="D60" s="354"/>
      <c r="E60" s="476"/>
      <c r="F60" s="477"/>
    </row>
    <row r="61" spans="1:6">
      <c r="A61" s="352"/>
      <c r="B61" s="361" t="s">
        <v>305</v>
      </c>
      <c r="C61" s="353" t="s">
        <v>372</v>
      </c>
      <c r="D61" s="354">
        <v>1</v>
      </c>
      <c r="E61" s="535"/>
      <c r="F61" s="477">
        <f>(D61*E61)</f>
        <v>0</v>
      </c>
    </row>
    <row r="62" spans="1:6">
      <c r="A62" s="352"/>
      <c r="B62" s="353"/>
      <c r="C62" s="353"/>
      <c r="D62" s="354"/>
      <c r="E62" s="476"/>
      <c r="F62" s="477"/>
    </row>
    <row r="63" spans="1:6">
      <c r="A63" s="352"/>
      <c r="B63" s="359" t="s">
        <v>306</v>
      </c>
      <c r="C63" s="353"/>
      <c r="D63" s="354"/>
      <c r="E63" s="476"/>
      <c r="F63" s="477"/>
    </row>
    <row r="64" spans="1:6">
      <c r="A64" s="352"/>
      <c r="B64" s="353" t="s">
        <v>373</v>
      </c>
      <c r="C64" s="353"/>
      <c r="D64" s="354"/>
      <c r="E64" s="476"/>
      <c r="F64" s="477"/>
    </row>
    <row r="65" spans="1:6">
      <c r="A65" s="352"/>
      <c r="B65" s="353" t="s">
        <v>374</v>
      </c>
      <c r="C65" s="353" t="s">
        <v>372</v>
      </c>
      <c r="D65" s="354">
        <v>1</v>
      </c>
      <c r="E65" s="535"/>
      <c r="F65" s="477">
        <f>(D65*E65)</f>
        <v>0</v>
      </c>
    </row>
    <row r="66" spans="1:6">
      <c r="A66" s="352"/>
      <c r="B66" s="353"/>
      <c r="C66" s="353"/>
      <c r="D66" s="354"/>
      <c r="E66" s="476"/>
      <c r="F66" s="477"/>
    </row>
    <row r="67" spans="1:6">
      <c r="A67" s="352"/>
      <c r="B67" s="359" t="s">
        <v>307</v>
      </c>
      <c r="C67" s="353"/>
      <c r="D67" s="354"/>
      <c r="E67" s="476"/>
      <c r="F67" s="477"/>
    </row>
    <row r="68" spans="1:6">
      <c r="A68" s="352"/>
      <c r="B68" s="353" t="s">
        <v>308</v>
      </c>
      <c r="C68" s="353"/>
      <c r="D68" s="354"/>
      <c r="E68" s="476"/>
      <c r="F68" s="477"/>
    </row>
    <row r="69" spans="1:6">
      <c r="A69" s="352"/>
      <c r="B69" s="353" t="s">
        <v>309</v>
      </c>
      <c r="C69" s="353" t="s">
        <v>372</v>
      </c>
      <c r="D69" s="354">
        <v>1</v>
      </c>
      <c r="E69" s="535"/>
      <c r="F69" s="477">
        <f>(D69*E69)</f>
        <v>0</v>
      </c>
    </row>
    <row r="70" spans="1:6">
      <c r="A70" s="352"/>
      <c r="B70" s="353"/>
      <c r="C70" s="353"/>
      <c r="D70" s="354"/>
      <c r="E70" s="476"/>
      <c r="F70" s="477"/>
    </row>
    <row r="71" spans="1:6">
      <c r="A71" s="352"/>
      <c r="B71" s="359" t="s">
        <v>310</v>
      </c>
      <c r="C71" s="353"/>
      <c r="D71" s="354"/>
      <c r="E71" s="476"/>
      <c r="F71" s="477"/>
    </row>
    <row r="72" spans="1:6">
      <c r="A72" s="352"/>
      <c r="B72" s="353" t="s">
        <v>311</v>
      </c>
      <c r="C72" s="353"/>
      <c r="D72" s="354"/>
      <c r="E72" s="476"/>
      <c r="F72" s="477"/>
    </row>
    <row r="73" spans="1:6">
      <c r="A73" s="352"/>
      <c r="B73" s="353" t="s">
        <v>312</v>
      </c>
      <c r="C73" s="353"/>
      <c r="D73" s="354"/>
      <c r="E73" s="476"/>
      <c r="F73" s="477"/>
    </row>
    <row r="74" spans="1:6">
      <c r="A74" s="352"/>
      <c r="B74" s="353"/>
      <c r="C74" s="353"/>
      <c r="D74" s="354"/>
      <c r="E74" s="476"/>
      <c r="F74" s="477"/>
    </row>
    <row r="75" spans="1:6">
      <c r="A75" s="352"/>
      <c r="B75" s="353" t="s">
        <v>313</v>
      </c>
      <c r="C75" s="353" t="s">
        <v>372</v>
      </c>
      <c r="D75" s="354">
        <v>1</v>
      </c>
      <c r="E75" s="535"/>
      <c r="F75" s="477">
        <f>(D75*E75)</f>
        <v>0</v>
      </c>
    </row>
    <row r="76" spans="1:6">
      <c r="A76" s="352"/>
      <c r="B76" s="353"/>
      <c r="C76" s="353"/>
      <c r="D76" s="354"/>
      <c r="E76" s="476"/>
      <c r="F76" s="477"/>
    </row>
    <row r="77" spans="1:6">
      <c r="A77" s="352"/>
      <c r="B77" s="353" t="s">
        <v>314</v>
      </c>
      <c r="C77" s="353" t="s">
        <v>372</v>
      </c>
      <c r="D77" s="354">
        <v>1</v>
      </c>
      <c r="E77" s="535"/>
      <c r="F77" s="477">
        <f>(D77*E77)</f>
        <v>0</v>
      </c>
    </row>
    <row r="78" spans="1:6">
      <c r="A78" s="352"/>
      <c r="B78" s="353"/>
      <c r="C78" s="353"/>
      <c r="D78" s="354"/>
      <c r="E78" s="476"/>
      <c r="F78" s="477"/>
    </row>
    <row r="79" spans="1:6" ht="330.75">
      <c r="A79" s="362">
        <v>8</v>
      </c>
      <c r="B79" s="474" t="s">
        <v>473</v>
      </c>
      <c r="C79" s="353"/>
      <c r="D79" s="354"/>
      <c r="E79" s="476"/>
      <c r="F79" s="477"/>
    </row>
    <row r="80" spans="1:6">
      <c r="A80" s="352"/>
      <c r="B80" s="353"/>
      <c r="C80" s="353"/>
      <c r="D80" s="354"/>
      <c r="E80" s="476"/>
      <c r="F80" s="477"/>
    </row>
    <row r="81" spans="1:6">
      <c r="A81" s="352"/>
      <c r="B81" s="353" t="s">
        <v>410</v>
      </c>
      <c r="E81" s="476"/>
      <c r="F81" s="477"/>
    </row>
    <row r="82" spans="1:6">
      <c r="A82" s="352"/>
      <c r="B82" s="353" t="s">
        <v>411</v>
      </c>
      <c r="C82" s="353" t="s">
        <v>128</v>
      </c>
      <c r="D82" s="354">
        <v>2</v>
      </c>
      <c r="E82" s="535"/>
      <c r="F82" s="477"/>
    </row>
    <row r="83" spans="1:6">
      <c r="A83" s="352"/>
      <c r="B83" s="353"/>
      <c r="C83" s="353"/>
      <c r="D83" s="354"/>
      <c r="E83" s="476"/>
      <c r="F83" s="477"/>
    </row>
    <row r="84" spans="1:6">
      <c r="A84" s="352"/>
      <c r="B84" s="353" t="s">
        <v>412</v>
      </c>
      <c r="C84" s="353" t="s">
        <v>413</v>
      </c>
      <c r="D84" s="354">
        <v>2</v>
      </c>
      <c r="E84" s="535"/>
      <c r="F84" s="477"/>
    </row>
    <row r="85" spans="1:6">
      <c r="A85" s="352"/>
      <c r="B85" s="353"/>
      <c r="C85" s="353"/>
      <c r="D85" s="354"/>
      <c r="E85" s="476"/>
      <c r="F85" s="477"/>
    </row>
    <row r="86" spans="1:6">
      <c r="A86" s="352"/>
      <c r="B86" s="353" t="s">
        <v>414</v>
      </c>
      <c r="C86" s="353" t="s">
        <v>372</v>
      </c>
      <c r="D86" s="354">
        <v>2</v>
      </c>
      <c r="E86" s="535"/>
      <c r="F86" s="477"/>
    </row>
    <row r="87" spans="1:6">
      <c r="A87" s="352"/>
      <c r="B87" s="353"/>
      <c r="C87" s="353"/>
      <c r="D87" s="354"/>
      <c r="E87" s="476"/>
      <c r="F87" s="477"/>
    </row>
    <row r="88" spans="1:6" ht="31.5">
      <c r="A88" s="352"/>
      <c r="B88" s="370" t="s">
        <v>415</v>
      </c>
      <c r="C88" s="357" t="s">
        <v>128</v>
      </c>
      <c r="D88" s="364">
        <v>2</v>
      </c>
      <c r="E88" s="535"/>
      <c r="F88" s="477"/>
    </row>
    <row r="89" spans="1:6">
      <c r="A89" s="352"/>
      <c r="B89" s="353"/>
      <c r="C89" s="353"/>
      <c r="D89" s="354"/>
      <c r="E89" s="476"/>
      <c r="F89" s="477"/>
    </row>
    <row r="90" spans="1:6" ht="31.5">
      <c r="A90" s="352"/>
      <c r="B90" s="363" t="s">
        <v>315</v>
      </c>
      <c r="C90" s="357" t="s">
        <v>372</v>
      </c>
      <c r="D90" s="364">
        <v>2</v>
      </c>
      <c r="E90" s="535"/>
      <c r="F90" s="477"/>
    </row>
    <row r="91" spans="1:6">
      <c r="A91" s="352"/>
      <c r="B91" s="363"/>
      <c r="C91" s="357"/>
      <c r="D91" s="364"/>
      <c r="E91" s="476"/>
      <c r="F91" s="477"/>
    </row>
    <row r="92" spans="1:6" ht="31.5">
      <c r="A92" s="352"/>
      <c r="B92" s="363" t="s">
        <v>416</v>
      </c>
      <c r="C92" s="357" t="s">
        <v>128</v>
      </c>
      <c r="D92" s="364">
        <v>2</v>
      </c>
      <c r="E92" s="535"/>
      <c r="F92" s="477"/>
    </row>
    <row r="93" spans="1:6">
      <c r="A93" s="352"/>
      <c r="B93" s="363"/>
      <c r="C93" s="357"/>
      <c r="D93" s="364"/>
      <c r="E93" s="476"/>
      <c r="F93" s="477"/>
    </row>
    <row r="94" spans="1:6" ht="31.5">
      <c r="A94" s="352"/>
      <c r="B94" s="363" t="s">
        <v>417</v>
      </c>
      <c r="C94" s="357" t="s">
        <v>128</v>
      </c>
      <c r="D94" s="364">
        <v>2</v>
      </c>
      <c r="E94" s="535"/>
      <c r="F94" s="477"/>
    </row>
    <row r="95" spans="1:6">
      <c r="A95" s="352"/>
      <c r="B95" s="353"/>
      <c r="E95" s="476"/>
      <c r="F95" s="477"/>
    </row>
    <row r="96" spans="1:6" ht="31.5">
      <c r="A96" s="352"/>
      <c r="B96" s="363" t="s">
        <v>421</v>
      </c>
      <c r="C96" s="357" t="s">
        <v>128</v>
      </c>
      <c r="D96" s="364">
        <v>2</v>
      </c>
      <c r="E96" s="535"/>
      <c r="F96" s="477"/>
    </row>
    <row r="97" spans="1:6">
      <c r="A97" s="352"/>
      <c r="B97" s="353"/>
      <c r="E97" s="476"/>
      <c r="F97" s="477"/>
    </row>
    <row r="98" spans="1:6" ht="31.5">
      <c r="A98" s="352"/>
      <c r="B98" s="363" t="s">
        <v>418</v>
      </c>
      <c r="C98" s="357" t="s">
        <v>128</v>
      </c>
      <c r="D98" s="364">
        <v>2</v>
      </c>
      <c r="E98" s="535"/>
      <c r="F98" s="477"/>
    </row>
    <row r="99" spans="1:6">
      <c r="A99" s="352"/>
      <c r="B99" s="353"/>
      <c r="E99" s="476"/>
      <c r="F99" s="477"/>
    </row>
    <row r="100" spans="1:6" ht="31.5">
      <c r="A100" s="352"/>
      <c r="B100" s="363" t="s">
        <v>419</v>
      </c>
      <c r="C100" s="357" t="s">
        <v>128</v>
      </c>
      <c r="D100" s="364">
        <v>2</v>
      </c>
      <c r="E100" s="535"/>
      <c r="F100" s="477"/>
    </row>
    <row r="101" spans="1:6">
      <c r="A101" s="352"/>
      <c r="B101" s="353"/>
      <c r="C101" s="27"/>
      <c r="D101" s="27"/>
      <c r="E101" s="476"/>
      <c r="F101" s="477"/>
    </row>
    <row r="102" spans="1:6" ht="31.5">
      <c r="A102" s="352"/>
      <c r="B102" s="363" t="s">
        <v>420</v>
      </c>
      <c r="C102" s="357" t="s">
        <v>128</v>
      </c>
      <c r="D102" s="364">
        <v>2</v>
      </c>
      <c r="E102" s="535"/>
      <c r="F102" s="477"/>
    </row>
    <row r="103" spans="1:6">
      <c r="A103" s="352"/>
      <c r="B103" s="353"/>
      <c r="C103" s="353"/>
      <c r="D103" s="354"/>
      <c r="E103" s="476"/>
      <c r="F103" s="477"/>
    </row>
    <row r="104" spans="1:6">
      <c r="A104" s="352"/>
      <c r="B104" s="353" t="s">
        <v>316</v>
      </c>
      <c r="C104" s="353" t="s">
        <v>128</v>
      </c>
      <c r="D104" s="354">
        <v>2</v>
      </c>
      <c r="E104" s="535"/>
      <c r="F104" s="477"/>
    </row>
    <row r="105" spans="1:6">
      <c r="A105" s="352"/>
      <c r="B105" s="365" t="s">
        <v>317</v>
      </c>
      <c r="C105" s="458"/>
      <c r="D105" s="458"/>
      <c r="E105" s="476"/>
      <c r="F105" s="477"/>
    </row>
    <row r="106" spans="1:6">
      <c r="A106" s="352"/>
      <c r="B106" s="359" t="s">
        <v>318</v>
      </c>
      <c r="C106" s="359" t="s">
        <v>187</v>
      </c>
      <c r="D106" s="457">
        <v>1</v>
      </c>
      <c r="E106" s="538"/>
      <c r="F106" s="478">
        <f>D106*E106</f>
        <v>0</v>
      </c>
    </row>
    <row r="107" spans="1:6">
      <c r="A107" s="352"/>
      <c r="B107" s="353"/>
      <c r="C107" s="353"/>
      <c r="D107" s="354"/>
      <c r="E107" s="476"/>
      <c r="F107" s="477"/>
    </row>
    <row r="108" spans="1:6" ht="110.25">
      <c r="A108" s="352" t="s">
        <v>468</v>
      </c>
      <c r="B108" s="475" t="s">
        <v>469</v>
      </c>
      <c r="C108" s="353" t="s">
        <v>128</v>
      </c>
      <c r="D108" s="354">
        <v>2</v>
      </c>
      <c r="E108" s="535"/>
      <c r="F108" s="477">
        <f>(D108*E108)</f>
        <v>0</v>
      </c>
    </row>
    <row r="109" spans="1:6">
      <c r="A109" s="352"/>
      <c r="B109" s="353"/>
      <c r="C109" s="353"/>
      <c r="D109" s="354"/>
      <c r="E109" s="476"/>
      <c r="F109" s="477"/>
    </row>
    <row r="110" spans="1:6">
      <c r="A110" s="352">
        <v>9</v>
      </c>
      <c r="B110" s="353" t="s">
        <v>320</v>
      </c>
      <c r="C110" s="353"/>
      <c r="D110" s="354"/>
      <c r="E110" s="476"/>
      <c r="F110" s="477"/>
    </row>
    <row r="111" spans="1:6">
      <c r="A111" s="352"/>
      <c r="B111" s="353" t="s">
        <v>321</v>
      </c>
      <c r="C111" s="353"/>
      <c r="D111" s="354"/>
      <c r="E111" s="476"/>
      <c r="F111" s="477"/>
    </row>
    <row r="112" spans="1:6">
      <c r="A112" s="352"/>
      <c r="B112" s="353"/>
      <c r="E112" s="476"/>
      <c r="F112" s="477"/>
    </row>
    <row r="113" spans="1:6">
      <c r="A113" s="352"/>
      <c r="B113" s="353" t="s">
        <v>322</v>
      </c>
      <c r="C113" s="353" t="s">
        <v>372</v>
      </c>
      <c r="D113" s="354">
        <v>1</v>
      </c>
      <c r="E113" s="535"/>
      <c r="F113" s="477">
        <f>(D113*E113)</f>
        <v>0</v>
      </c>
    </row>
    <row r="114" spans="1:6">
      <c r="A114" s="352"/>
      <c r="B114" s="353"/>
      <c r="C114" s="353"/>
      <c r="D114" s="354"/>
      <c r="E114" s="479"/>
      <c r="F114" s="477"/>
    </row>
    <row r="115" spans="1:6">
      <c r="A115" s="352"/>
      <c r="B115" s="353" t="s">
        <v>323</v>
      </c>
      <c r="E115" s="479"/>
      <c r="F115" s="477"/>
    </row>
    <row r="116" spans="1:6">
      <c r="A116" s="352"/>
      <c r="B116" s="353" t="s">
        <v>324</v>
      </c>
      <c r="C116" s="353" t="s">
        <v>372</v>
      </c>
      <c r="D116" s="354">
        <v>1</v>
      </c>
      <c r="E116" s="535"/>
      <c r="F116" s="477">
        <f>(D116*E116)</f>
        <v>0</v>
      </c>
    </row>
    <row r="117" spans="1:6">
      <c r="A117" s="352"/>
      <c r="B117" s="353"/>
      <c r="C117" s="353"/>
      <c r="D117" s="354"/>
      <c r="E117" s="476"/>
      <c r="F117" s="477"/>
    </row>
    <row r="118" spans="1:6">
      <c r="A118" s="352"/>
      <c r="B118" s="353"/>
      <c r="C118" s="353"/>
      <c r="D118" s="354"/>
      <c r="E118" s="476"/>
      <c r="F118" s="477"/>
    </row>
    <row r="119" spans="1:6">
      <c r="A119" s="352">
        <v>10</v>
      </c>
      <c r="B119" s="353" t="s">
        <v>325</v>
      </c>
      <c r="C119" s="353"/>
      <c r="D119" s="354"/>
      <c r="E119" s="476"/>
      <c r="F119" s="477"/>
    </row>
    <row r="120" spans="1:6">
      <c r="A120" s="352"/>
      <c r="B120" s="353" t="s">
        <v>326</v>
      </c>
      <c r="C120" s="353"/>
      <c r="D120" s="354"/>
      <c r="E120" s="476"/>
      <c r="F120" s="477"/>
    </row>
    <row r="121" spans="1:6">
      <c r="A121" s="352"/>
      <c r="B121" s="353" t="s">
        <v>327</v>
      </c>
      <c r="C121" s="353"/>
      <c r="D121" s="354"/>
      <c r="E121" s="476"/>
      <c r="F121" s="477"/>
    </row>
    <row r="122" spans="1:6">
      <c r="A122" s="352"/>
      <c r="B122" s="353" t="s">
        <v>328</v>
      </c>
      <c r="C122" s="353"/>
      <c r="D122" s="354"/>
      <c r="E122" s="476"/>
      <c r="F122" s="477"/>
    </row>
    <row r="123" spans="1:6">
      <c r="A123" s="352"/>
      <c r="B123" s="353"/>
      <c r="C123" s="353"/>
      <c r="D123" s="354"/>
      <c r="E123" s="476"/>
      <c r="F123" s="477"/>
    </row>
    <row r="124" spans="1:6">
      <c r="A124" s="352"/>
      <c r="B124" s="353" t="s">
        <v>375</v>
      </c>
      <c r="C124" s="353" t="s">
        <v>372</v>
      </c>
      <c r="D124" s="354">
        <v>3</v>
      </c>
      <c r="E124" s="535"/>
      <c r="F124" s="477">
        <f>(D124*E124)</f>
        <v>0</v>
      </c>
    </row>
    <row r="125" spans="1:6">
      <c r="A125" s="352"/>
      <c r="B125" s="353"/>
      <c r="C125" s="353"/>
      <c r="D125" s="354"/>
      <c r="E125" s="476"/>
      <c r="F125" s="477"/>
    </row>
    <row r="126" spans="1:6">
      <c r="A126" s="352"/>
      <c r="B126" s="353" t="s">
        <v>376</v>
      </c>
      <c r="E126" s="476"/>
      <c r="F126" s="477"/>
    </row>
    <row r="127" spans="1:6">
      <c r="A127" s="352"/>
      <c r="B127" s="353" t="s">
        <v>377</v>
      </c>
      <c r="C127" s="353" t="s">
        <v>372</v>
      </c>
      <c r="D127" s="354">
        <v>1</v>
      </c>
      <c r="E127" s="535"/>
      <c r="F127" s="477">
        <f>(D127*E127)</f>
        <v>0</v>
      </c>
    </row>
    <row r="128" spans="1:6">
      <c r="A128" s="366"/>
      <c r="B128" s="367"/>
      <c r="C128" s="367"/>
      <c r="D128" s="368"/>
      <c r="E128" s="476"/>
      <c r="F128" s="477"/>
    </row>
    <row r="129" spans="1:6">
      <c r="A129" s="352"/>
      <c r="B129" s="353"/>
      <c r="C129" s="353"/>
      <c r="D129" s="354"/>
      <c r="E129" s="476"/>
      <c r="F129" s="477"/>
    </row>
    <row r="130" spans="1:6">
      <c r="A130" s="352">
        <v>11</v>
      </c>
      <c r="B130" s="353" t="s">
        <v>329</v>
      </c>
      <c r="C130" s="353"/>
      <c r="D130" s="354"/>
      <c r="E130" s="476"/>
      <c r="F130" s="477"/>
    </row>
    <row r="131" spans="1:6">
      <c r="A131" s="352"/>
      <c r="B131" s="353" t="s">
        <v>330</v>
      </c>
      <c r="C131" s="353"/>
      <c r="D131" s="354"/>
      <c r="E131" s="476"/>
      <c r="F131" s="477"/>
    </row>
    <row r="132" spans="1:6">
      <c r="A132" s="352"/>
      <c r="B132" s="353" t="s">
        <v>331</v>
      </c>
      <c r="E132" s="476"/>
      <c r="F132" s="477"/>
    </row>
    <row r="133" spans="1:6">
      <c r="A133" s="352"/>
      <c r="B133" s="353" t="s">
        <v>332</v>
      </c>
      <c r="E133" s="476"/>
      <c r="F133" s="477"/>
    </row>
    <row r="134" spans="1:6">
      <c r="A134" s="352"/>
      <c r="B134" s="353" t="s">
        <v>333</v>
      </c>
      <c r="E134" s="476"/>
      <c r="F134" s="477"/>
    </row>
    <row r="135" spans="1:6">
      <c r="A135" s="352"/>
      <c r="B135" s="353" t="s">
        <v>334</v>
      </c>
      <c r="C135" s="353"/>
      <c r="D135" s="354"/>
      <c r="E135" s="476"/>
      <c r="F135" s="477"/>
    </row>
    <row r="136" spans="1:6">
      <c r="A136" s="352"/>
      <c r="B136" s="353" t="s">
        <v>335</v>
      </c>
      <c r="C136" s="353" t="s">
        <v>372</v>
      </c>
      <c r="D136" s="354">
        <v>1</v>
      </c>
      <c r="E136" s="535"/>
      <c r="F136" s="477">
        <f>(D136*E136)</f>
        <v>0</v>
      </c>
    </row>
    <row r="137" spans="1:6">
      <c r="A137" s="352"/>
      <c r="B137" s="353"/>
      <c r="E137" s="476"/>
      <c r="F137" s="477"/>
    </row>
    <row r="138" spans="1:6">
      <c r="A138" s="352"/>
      <c r="B138" s="353"/>
      <c r="C138" s="353"/>
      <c r="D138" s="354"/>
      <c r="E138" s="476"/>
      <c r="F138" s="477"/>
    </row>
    <row r="139" spans="1:6">
      <c r="A139" s="352">
        <v>12</v>
      </c>
      <c r="B139" s="353" t="s">
        <v>336</v>
      </c>
      <c r="E139" s="476"/>
      <c r="F139" s="477"/>
    </row>
    <row r="140" spans="1:6">
      <c r="B140" s="353" t="s">
        <v>378</v>
      </c>
      <c r="E140" s="476"/>
      <c r="F140" s="477"/>
    </row>
    <row r="141" spans="1:6">
      <c r="A141" s="352"/>
      <c r="B141" s="353" t="s">
        <v>337</v>
      </c>
      <c r="C141" s="353" t="s">
        <v>277</v>
      </c>
      <c r="D141" s="354">
        <f>(D15+D17)-14</f>
        <v>58.900000000000006</v>
      </c>
      <c r="E141" s="535"/>
      <c r="F141" s="477">
        <f>(D141*E141)</f>
        <v>0</v>
      </c>
    </row>
    <row r="142" spans="1:6">
      <c r="A142" s="352"/>
      <c r="B142" s="353"/>
      <c r="C142" s="353"/>
      <c r="D142" s="354"/>
      <c r="E142" s="476"/>
      <c r="F142" s="477"/>
    </row>
    <row r="143" spans="1:6">
      <c r="B143" s="353"/>
      <c r="E143" s="476"/>
      <c r="F143" s="477"/>
    </row>
    <row r="144" spans="1:6">
      <c r="A144" s="352">
        <v>13</v>
      </c>
      <c r="B144" s="353" t="s">
        <v>338</v>
      </c>
      <c r="D144" s="354"/>
      <c r="E144" s="476"/>
      <c r="F144" s="477"/>
    </row>
    <row r="145" spans="1:6">
      <c r="A145" s="352"/>
      <c r="B145" s="353" t="s">
        <v>339</v>
      </c>
      <c r="E145" s="476"/>
      <c r="F145" s="477"/>
    </row>
    <row r="146" spans="1:6">
      <c r="B146" s="353" t="s">
        <v>379</v>
      </c>
      <c r="C146" s="353" t="s">
        <v>277</v>
      </c>
      <c r="D146" s="354">
        <f>((D15+D17)-D141)*1.25</f>
        <v>17.5</v>
      </c>
      <c r="E146" s="535"/>
      <c r="F146" s="477">
        <f>(D146*E146)</f>
        <v>0</v>
      </c>
    </row>
    <row r="147" spans="1:6">
      <c r="B147" s="353"/>
      <c r="E147" s="476"/>
      <c r="F147" s="477"/>
    </row>
    <row r="148" spans="1:6">
      <c r="B148" s="353"/>
      <c r="E148" s="476"/>
      <c r="F148" s="477"/>
    </row>
    <row r="149" spans="1:6">
      <c r="A149" s="352">
        <v>14</v>
      </c>
      <c r="B149" s="353" t="s">
        <v>380</v>
      </c>
      <c r="D149" s="354"/>
      <c r="E149" s="476"/>
      <c r="F149" s="477"/>
    </row>
    <row r="150" spans="1:6">
      <c r="A150" s="352"/>
      <c r="B150" s="353" t="s">
        <v>381</v>
      </c>
      <c r="E150" s="476"/>
      <c r="F150" s="477"/>
    </row>
    <row r="151" spans="1:6">
      <c r="A151" s="352"/>
      <c r="B151" s="353" t="s">
        <v>382</v>
      </c>
      <c r="C151" s="353" t="s">
        <v>277</v>
      </c>
      <c r="D151" s="354">
        <f>6.2</f>
        <v>6.2</v>
      </c>
      <c r="E151" s="535"/>
      <c r="F151" s="477">
        <f>(D151*E151)</f>
        <v>0</v>
      </c>
    </row>
    <row r="152" spans="1:6">
      <c r="A152" s="352"/>
      <c r="B152" s="353"/>
      <c r="E152" s="476"/>
      <c r="F152" s="477"/>
    </row>
    <row r="153" spans="1:6">
      <c r="A153" s="366"/>
      <c r="B153" s="367"/>
      <c r="C153" s="367"/>
      <c r="D153" s="368"/>
      <c r="E153" s="480"/>
      <c r="F153" s="481"/>
    </row>
    <row r="154" spans="1:6">
      <c r="A154" s="352">
        <v>15</v>
      </c>
      <c r="B154" s="353" t="s">
        <v>383</v>
      </c>
      <c r="D154" s="354"/>
      <c r="E154" s="476"/>
      <c r="F154" s="477"/>
    </row>
    <row r="155" spans="1:6">
      <c r="A155" s="352"/>
      <c r="B155" s="353"/>
      <c r="D155" s="354"/>
      <c r="E155" s="476"/>
      <c r="F155" s="477"/>
    </row>
    <row r="156" spans="1:6">
      <c r="A156" s="352"/>
      <c r="B156" s="353" t="s">
        <v>384</v>
      </c>
      <c r="C156" s="353" t="s">
        <v>227</v>
      </c>
      <c r="D156" s="354">
        <f>D151*40</f>
        <v>248</v>
      </c>
      <c r="E156" s="535"/>
      <c r="F156" s="477">
        <f>(D156*E156)</f>
        <v>0</v>
      </c>
    </row>
    <row r="157" spans="1:6">
      <c r="A157" s="352"/>
      <c r="B157" s="353"/>
      <c r="D157" s="354"/>
      <c r="E157" s="476"/>
      <c r="F157" s="477"/>
    </row>
    <row r="158" spans="1:6">
      <c r="A158" s="352"/>
      <c r="B158" s="353" t="s">
        <v>385</v>
      </c>
      <c r="C158" s="353" t="s">
        <v>227</v>
      </c>
      <c r="D158" s="354">
        <f>D151*60</f>
        <v>372</v>
      </c>
      <c r="E158" s="535"/>
      <c r="F158" s="477">
        <f>(D158*E158)</f>
        <v>0</v>
      </c>
    </row>
    <row r="159" spans="1:6">
      <c r="A159" s="352"/>
      <c r="B159" s="353"/>
      <c r="D159" s="354"/>
      <c r="E159" s="476"/>
      <c r="F159" s="477"/>
    </row>
    <row r="160" spans="1:6">
      <c r="A160" s="352"/>
      <c r="B160" s="353" t="s">
        <v>386</v>
      </c>
      <c r="C160" s="353" t="s">
        <v>227</v>
      </c>
      <c r="D160" s="354">
        <f>D151*60</f>
        <v>372</v>
      </c>
      <c r="E160" s="535"/>
      <c r="F160" s="477">
        <f>(D160*E160)</f>
        <v>0</v>
      </c>
    </row>
    <row r="161" spans="1:6">
      <c r="A161" s="352"/>
      <c r="B161" s="353"/>
      <c r="C161" s="353"/>
      <c r="D161" s="354"/>
      <c r="E161" s="476"/>
      <c r="F161" s="477"/>
    </row>
    <row r="162" spans="1:6">
      <c r="A162" s="352"/>
      <c r="B162" s="353"/>
      <c r="C162" s="353"/>
      <c r="D162" s="354"/>
      <c r="E162" s="476"/>
      <c r="F162" s="477"/>
    </row>
    <row r="163" spans="1:6">
      <c r="A163" s="352">
        <v>16</v>
      </c>
      <c r="B163" s="353" t="s">
        <v>470</v>
      </c>
      <c r="D163" s="354"/>
      <c r="E163" s="476"/>
      <c r="F163" s="477"/>
    </row>
    <row r="164" spans="1:6">
      <c r="A164" s="352"/>
      <c r="B164" s="353" t="s">
        <v>471</v>
      </c>
      <c r="C164" s="353"/>
      <c r="D164" s="354"/>
      <c r="E164" s="476"/>
      <c r="F164" s="477"/>
    </row>
    <row r="165" spans="1:6">
      <c r="A165" s="352"/>
      <c r="B165" s="353" t="s">
        <v>340</v>
      </c>
      <c r="D165" s="354"/>
      <c r="E165" s="476"/>
      <c r="F165" s="477"/>
    </row>
    <row r="166" spans="1:6">
      <c r="A166" s="352"/>
      <c r="B166" s="353" t="s">
        <v>341</v>
      </c>
      <c r="C166" s="353" t="s">
        <v>372</v>
      </c>
      <c r="D166" s="354">
        <v>1</v>
      </c>
      <c r="E166" s="535"/>
      <c r="F166" s="477">
        <f>(D166*E166)</f>
        <v>0</v>
      </c>
    </row>
    <row r="167" spans="1:6">
      <c r="A167" s="352"/>
      <c r="B167" s="353"/>
      <c r="C167" s="353"/>
      <c r="D167" s="354"/>
      <c r="E167" s="476"/>
      <c r="F167" s="477"/>
    </row>
    <row r="168" spans="1:6">
      <c r="A168" s="352"/>
      <c r="B168" s="353"/>
      <c r="C168" s="353"/>
      <c r="D168" s="354"/>
      <c r="E168" s="476"/>
      <c r="F168" s="477"/>
    </row>
    <row r="169" spans="1:6" ht="63">
      <c r="A169" s="362">
        <v>17</v>
      </c>
      <c r="B169" s="370" t="s">
        <v>398</v>
      </c>
      <c r="C169" s="369" t="s">
        <v>187</v>
      </c>
      <c r="D169" s="364">
        <v>1</v>
      </c>
      <c r="E169" s="536"/>
      <c r="F169" s="483">
        <f>(D169*E169)</f>
        <v>0</v>
      </c>
    </row>
    <row r="170" spans="1:6" ht="16.5">
      <c r="A170" s="362"/>
      <c r="B170" s="370"/>
      <c r="C170" s="369"/>
      <c r="D170" s="364"/>
      <c r="E170" s="482"/>
      <c r="F170" s="483"/>
    </row>
    <row r="171" spans="1:6">
      <c r="B171" s="360"/>
      <c r="E171" s="484"/>
      <c r="F171" s="485"/>
    </row>
    <row r="172" spans="1:6">
      <c r="A172" s="408" t="s">
        <v>459</v>
      </c>
      <c r="B172" s="409" t="s">
        <v>387</v>
      </c>
      <c r="C172" s="409" t="s">
        <v>319</v>
      </c>
      <c r="D172" s="410"/>
      <c r="E172" s="537"/>
      <c r="F172" s="486">
        <f>SUM(F5:F170)</f>
        <v>0</v>
      </c>
    </row>
    <row r="173" spans="1:6">
      <c r="A173" s="371"/>
      <c r="B173" s="359"/>
    </row>
    <row r="174" spans="1:6">
      <c r="A174" s="371"/>
    </row>
    <row r="178" spans="5:5">
      <c r="E178" s="354"/>
    </row>
    <row r="179" spans="5:5">
      <c r="E179" s="354"/>
    </row>
    <row r="184" spans="5:5">
      <c r="E184" s="354"/>
    </row>
    <row r="185" spans="5:5">
      <c r="E185" s="354"/>
    </row>
    <row r="186" spans="5:5">
      <c r="E186" s="354"/>
    </row>
    <row r="228" spans="5:5">
      <c r="E228" s="354"/>
    </row>
    <row r="233" spans="5:5">
      <c r="E233" s="354"/>
    </row>
    <row r="234" spans="5:5">
      <c r="E234" s="354"/>
    </row>
    <row r="235" spans="5:5">
      <c r="E235" s="354"/>
    </row>
    <row r="236" spans="5:5">
      <c r="E236" s="354"/>
    </row>
    <row r="237" spans="5:5">
      <c r="E237" s="354"/>
    </row>
    <row r="238" spans="5:5">
      <c r="E238" s="354"/>
    </row>
    <row r="239" spans="5:5">
      <c r="E239" s="354"/>
    </row>
    <row r="240" spans="5:5">
      <c r="E240" s="354"/>
    </row>
  </sheetData>
  <sheetProtection algorithmName="SHA-512" hashValue="eJ/9S+MDaJLGQ6u4nUZZbsZGkqzAOjBcszepFNjL9YwkHDlk6AS6sTnzWqdG5XamUhz5i6CAiIF2ZWLH8EN5xQ==" saltValue="B/5SG/U6ATEFnhnc44UEqQ==" spinCount="100000" sheet="1" objects="1" scenarios="1"/>
  <pageMargins left="0.70866141732283472" right="0.70866141732283472" top="0.74803149606299213" bottom="0.74803149606299213" header="0.31496062992125984" footer="0.31496062992125984"/>
  <pageSetup paperSize="9" orientation="portrait" r:id="rId1"/>
  <headerFooter>
    <oddHeader>&amp;LSAVINJAPROJEKT d.o.o.&amp;RŠt. projekta: 68/2018</oddHeader>
    <oddFooter>&amp;C&amp;P</oddFooter>
  </headerFooter>
  <rowBreaks count="3" manualBreakCount="3">
    <brk id="36" max="16383" man="1"/>
    <brk id="78" max="16383" man="1"/>
    <brk id="15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59999389629810485"/>
  </sheetPr>
  <dimension ref="A1:U140"/>
  <sheetViews>
    <sheetView showZeros="0" view="pageBreakPreview" topLeftCell="A109" zoomScaleNormal="100" zoomScaleSheetLayoutView="100" workbookViewId="0">
      <selection activeCell="E138" activeCellId="1" sqref="E125:E135 E138"/>
    </sheetView>
  </sheetViews>
  <sheetFormatPr defaultColWidth="9.140625" defaultRowHeight="12.75"/>
  <cols>
    <col min="1" max="1" width="4.5703125" style="424" bestFit="1" customWidth="1"/>
    <col min="2" max="2" width="45.7109375" style="272" customWidth="1"/>
    <col min="3" max="3" width="5.85546875" style="267" customWidth="1"/>
    <col min="4" max="4" width="7" style="337" customWidth="1"/>
    <col min="5" max="5" width="11.85546875" style="268" customWidth="1"/>
    <col min="6" max="6" width="13.28515625" style="268" customWidth="1"/>
    <col min="7" max="16384" width="9.140625" style="267"/>
  </cols>
  <sheetData>
    <row r="1" spans="1:6" ht="14.1" customHeight="1">
      <c r="A1" s="423"/>
      <c r="B1" s="270"/>
      <c r="C1" s="271"/>
      <c r="D1" s="336"/>
    </row>
    <row r="2" spans="1:6" ht="14.1" customHeight="1">
      <c r="A2" s="422"/>
      <c r="B2" s="411" t="s">
        <v>365</v>
      </c>
    </row>
    <row r="3" spans="1:6" ht="14.1" customHeight="1">
      <c r="E3" s="269"/>
      <c r="F3" s="269"/>
    </row>
    <row r="4" spans="1:6" s="273" customFormat="1" ht="16.5" customHeight="1">
      <c r="A4" s="470" t="s">
        <v>137</v>
      </c>
      <c r="B4" s="471" t="s">
        <v>138</v>
      </c>
      <c r="C4" s="470" t="s">
        <v>139</v>
      </c>
      <c r="D4" s="472" t="s">
        <v>140</v>
      </c>
      <c r="E4" s="473" t="s">
        <v>141</v>
      </c>
      <c r="F4" s="473" t="s">
        <v>142</v>
      </c>
    </row>
    <row r="5" spans="1:6" s="272" customFormat="1">
      <c r="A5" s="425"/>
      <c r="D5" s="338"/>
      <c r="E5" s="274" t="str">
        <f>IF(AND(ISNUMBER(#REF!),ISNUMBER(#REF!)),ROUND((#REF!*#REF!+#REF!*#REF!*#REF!)*(1+#REF!)*#REF!*#REF!*#REF!,2)," ")</f>
        <v xml:space="preserve"> </v>
      </c>
      <c r="F5" s="274" t="str">
        <f>IF(AND(ISNUMBER(C5),ISNUMBER(E5)),C5*E5," ")</f>
        <v xml:space="preserve"> </v>
      </c>
    </row>
    <row r="6" spans="1:6" s="276" customFormat="1">
      <c r="A6" s="426" t="s">
        <v>143</v>
      </c>
      <c r="B6" s="275" t="s">
        <v>144</v>
      </c>
      <c r="D6" s="279"/>
      <c r="E6" s="277"/>
      <c r="F6" s="277"/>
    </row>
    <row r="7" spans="1:6" s="276" customFormat="1">
      <c r="A7" s="427"/>
      <c r="B7" s="278"/>
      <c r="C7" s="279"/>
      <c r="D7" s="279"/>
      <c r="E7" s="280"/>
      <c r="F7" s="281"/>
    </row>
    <row r="8" spans="1:6" s="272" customFormat="1">
      <c r="A8" s="428"/>
      <c r="B8" s="282" t="s">
        <v>145</v>
      </c>
      <c r="C8" s="283"/>
      <c r="D8" s="334"/>
      <c r="E8" s="274" t="str">
        <f>IF(AND(ISNUMBER(#REF!),ISNUMBER(#REF!)),ROUND((#REF!*#REF!+#REF!*#REF!*#REF!)*(1+#REF!)*#REF!*#REF!*#REF!,2)," ")</f>
        <v xml:space="preserve"> </v>
      </c>
      <c r="F8" s="274"/>
    </row>
    <row r="9" spans="1:6" s="272" customFormat="1">
      <c r="A9" s="428"/>
      <c r="B9" s="284"/>
      <c r="C9" s="285"/>
      <c r="D9" s="334"/>
      <c r="E9" s="274" t="str">
        <f>IF(AND(ISNUMBER(#REF!),ISNUMBER(#REF!)),ROUND((#REF!*#REF!+#REF!*#REF!*#REF!)*(1+#REF!)*#REF!*#REF!*#REF!,2)," ")</f>
        <v xml:space="preserve"> </v>
      </c>
      <c r="F9" s="274"/>
    </row>
    <row r="10" spans="1:6" s="288" customFormat="1" ht="38.25">
      <c r="A10" s="429" t="s">
        <v>146</v>
      </c>
      <c r="B10" s="286" t="s">
        <v>147</v>
      </c>
      <c r="C10" s="287">
        <v>1</v>
      </c>
      <c r="D10" s="314" t="s">
        <v>128</v>
      </c>
      <c r="E10" s="520"/>
      <c r="F10" s="488" t="str">
        <f t="shared" ref="F10:F60" si="0">IF(AND(ISNUMBER(C10),ISNUMBER(E10)),C10*E10," ")</f>
        <v xml:space="preserve"> </v>
      </c>
    </row>
    <row r="11" spans="1:6" s="288" customFormat="1" ht="38.25">
      <c r="A11" s="429" t="s">
        <v>146</v>
      </c>
      <c r="B11" s="284" t="s">
        <v>148</v>
      </c>
      <c r="C11" s="287">
        <v>1</v>
      </c>
      <c r="D11" s="314" t="s">
        <v>128</v>
      </c>
      <c r="E11" s="520"/>
      <c r="F11" s="488" t="str">
        <f t="shared" si="0"/>
        <v xml:space="preserve"> </v>
      </c>
    </row>
    <row r="12" spans="1:6" s="288" customFormat="1" ht="25.5">
      <c r="A12" s="429" t="s">
        <v>146</v>
      </c>
      <c r="B12" s="284" t="s">
        <v>149</v>
      </c>
      <c r="C12" s="287">
        <v>1</v>
      </c>
      <c r="D12" s="314" t="s">
        <v>128</v>
      </c>
      <c r="E12" s="520"/>
      <c r="F12" s="488" t="str">
        <f t="shared" si="0"/>
        <v xml:space="preserve"> </v>
      </c>
    </row>
    <row r="13" spans="1:6" s="288" customFormat="1" ht="25.5">
      <c r="A13" s="429" t="s">
        <v>146</v>
      </c>
      <c r="B13" s="284" t="s">
        <v>150</v>
      </c>
      <c r="C13" s="287">
        <v>1</v>
      </c>
      <c r="D13" s="314" t="s">
        <v>128</v>
      </c>
      <c r="E13" s="520"/>
      <c r="F13" s="488" t="str">
        <f t="shared" si="0"/>
        <v xml:space="preserve"> </v>
      </c>
    </row>
    <row r="14" spans="1:6" s="288" customFormat="1" ht="25.5">
      <c r="A14" s="429" t="s">
        <v>146</v>
      </c>
      <c r="B14" s="284" t="s">
        <v>151</v>
      </c>
      <c r="C14" s="287">
        <v>1</v>
      </c>
      <c r="D14" s="314" t="s">
        <v>128</v>
      </c>
      <c r="E14" s="520"/>
      <c r="F14" s="488" t="str">
        <f t="shared" si="0"/>
        <v xml:space="preserve"> </v>
      </c>
    </row>
    <row r="15" spans="1:6" s="288" customFormat="1" ht="25.5">
      <c r="A15" s="429" t="s">
        <v>146</v>
      </c>
      <c r="B15" s="284" t="s">
        <v>152</v>
      </c>
      <c r="C15" s="287">
        <v>10</v>
      </c>
      <c r="D15" s="314" t="s">
        <v>128</v>
      </c>
      <c r="E15" s="520"/>
      <c r="F15" s="488" t="str">
        <f t="shared" si="0"/>
        <v xml:space="preserve"> </v>
      </c>
    </row>
    <row r="16" spans="1:6" s="288" customFormat="1" ht="25.5">
      <c r="A16" s="429" t="s">
        <v>146</v>
      </c>
      <c r="B16" s="284" t="s">
        <v>153</v>
      </c>
      <c r="C16" s="287">
        <v>2</v>
      </c>
      <c r="D16" s="314" t="s">
        <v>128</v>
      </c>
      <c r="E16" s="520"/>
      <c r="F16" s="488" t="str">
        <f t="shared" si="0"/>
        <v xml:space="preserve"> </v>
      </c>
    </row>
    <row r="17" spans="1:6" s="288" customFormat="1" ht="25.5">
      <c r="A17" s="429" t="s">
        <v>146</v>
      </c>
      <c r="B17" s="284" t="s">
        <v>154</v>
      </c>
      <c r="C17" s="287">
        <v>2</v>
      </c>
      <c r="D17" s="314" t="s">
        <v>128</v>
      </c>
      <c r="E17" s="520"/>
      <c r="F17" s="488" t="str">
        <f t="shared" si="0"/>
        <v xml:space="preserve"> </v>
      </c>
    </row>
    <row r="18" spans="1:6" s="288" customFormat="1">
      <c r="A18" s="429" t="s">
        <v>146</v>
      </c>
      <c r="B18" s="289" t="s">
        <v>155</v>
      </c>
      <c r="C18" s="287">
        <v>2</v>
      </c>
      <c r="D18" s="314" t="s">
        <v>6</v>
      </c>
      <c r="E18" s="520"/>
      <c r="F18" s="488" t="str">
        <f t="shared" si="0"/>
        <v xml:space="preserve"> </v>
      </c>
    </row>
    <row r="19" spans="1:6" s="292" customFormat="1" ht="25.5">
      <c r="A19" s="430" t="s">
        <v>146</v>
      </c>
      <c r="B19" s="290" t="s">
        <v>156</v>
      </c>
      <c r="C19" s="291">
        <v>1</v>
      </c>
      <c r="D19" s="339" t="s">
        <v>6</v>
      </c>
      <c r="E19" s="520"/>
      <c r="F19" s="488" t="str">
        <f t="shared" si="0"/>
        <v xml:space="preserve"> </v>
      </c>
    </row>
    <row r="20" spans="1:6" s="272" customFormat="1" ht="25.5">
      <c r="A20" s="429" t="s">
        <v>146</v>
      </c>
      <c r="B20" s="284" t="s">
        <v>157</v>
      </c>
      <c r="C20" s="287">
        <v>1</v>
      </c>
      <c r="D20" s="314" t="s">
        <v>128</v>
      </c>
      <c r="E20" s="520"/>
      <c r="F20" s="488" t="str">
        <f t="shared" si="0"/>
        <v xml:space="preserve"> </v>
      </c>
    </row>
    <row r="21" spans="1:6" s="288" customFormat="1">
      <c r="A21" s="429" t="s">
        <v>146</v>
      </c>
      <c r="B21" s="284" t="s">
        <v>158</v>
      </c>
      <c r="C21" s="287">
        <v>2</v>
      </c>
      <c r="D21" s="314" t="s">
        <v>128</v>
      </c>
      <c r="E21" s="520"/>
      <c r="F21" s="488" t="str">
        <f t="shared" si="0"/>
        <v xml:space="preserve"> </v>
      </c>
    </row>
    <row r="22" spans="1:6" s="288" customFormat="1" ht="25.5">
      <c r="A22" s="429" t="s">
        <v>146</v>
      </c>
      <c r="B22" s="284" t="s">
        <v>159</v>
      </c>
      <c r="C22" s="287">
        <v>1</v>
      </c>
      <c r="D22" s="314" t="s">
        <v>128</v>
      </c>
      <c r="E22" s="520"/>
      <c r="F22" s="488" t="str">
        <f t="shared" si="0"/>
        <v xml:space="preserve"> </v>
      </c>
    </row>
    <row r="23" spans="1:6" s="288" customFormat="1">
      <c r="A23" s="429" t="s">
        <v>146</v>
      </c>
      <c r="B23" s="284" t="s">
        <v>160</v>
      </c>
      <c r="C23" s="287">
        <v>1</v>
      </c>
      <c r="D23" s="314" t="s">
        <v>128</v>
      </c>
      <c r="E23" s="520"/>
      <c r="F23" s="488" t="str">
        <f t="shared" si="0"/>
        <v xml:space="preserve"> </v>
      </c>
    </row>
    <row r="24" spans="1:6" s="288" customFormat="1">
      <c r="A24" s="429" t="s">
        <v>146</v>
      </c>
      <c r="B24" s="289" t="s">
        <v>161</v>
      </c>
      <c r="C24" s="287">
        <v>1</v>
      </c>
      <c r="D24" s="314" t="s">
        <v>128</v>
      </c>
      <c r="E24" s="520"/>
      <c r="F24" s="488" t="str">
        <f t="shared" si="0"/>
        <v xml:space="preserve"> </v>
      </c>
    </row>
    <row r="25" spans="1:6" s="288" customFormat="1">
      <c r="A25" s="429" t="s">
        <v>146</v>
      </c>
      <c r="B25" s="289" t="s">
        <v>162</v>
      </c>
      <c r="C25" s="287">
        <v>1</v>
      </c>
      <c r="D25" s="314" t="s">
        <v>128</v>
      </c>
      <c r="E25" s="520"/>
      <c r="F25" s="488" t="str">
        <f t="shared" si="0"/>
        <v xml:space="preserve"> </v>
      </c>
    </row>
    <row r="26" spans="1:6" s="288" customFormat="1">
      <c r="A26" s="429" t="s">
        <v>146</v>
      </c>
      <c r="B26" s="284" t="s">
        <v>163</v>
      </c>
      <c r="C26" s="287">
        <v>1</v>
      </c>
      <c r="D26" s="314" t="s">
        <v>128</v>
      </c>
      <c r="E26" s="520"/>
      <c r="F26" s="488" t="str">
        <f t="shared" si="0"/>
        <v xml:space="preserve"> </v>
      </c>
    </row>
    <row r="27" spans="1:6" s="288" customFormat="1">
      <c r="A27" s="429" t="s">
        <v>146</v>
      </c>
      <c r="B27" s="284" t="s">
        <v>164</v>
      </c>
      <c r="C27" s="287">
        <v>1</v>
      </c>
      <c r="D27" s="314" t="s">
        <v>128</v>
      </c>
      <c r="E27" s="520"/>
      <c r="F27" s="488" t="str">
        <f t="shared" si="0"/>
        <v xml:space="preserve"> </v>
      </c>
    </row>
    <row r="28" spans="1:6" s="288" customFormat="1">
      <c r="A28" s="429" t="s">
        <v>146</v>
      </c>
      <c r="B28" s="284" t="s">
        <v>165</v>
      </c>
      <c r="C28" s="287">
        <v>1</v>
      </c>
      <c r="D28" s="314" t="s">
        <v>128</v>
      </c>
      <c r="E28" s="520"/>
      <c r="F28" s="488" t="str">
        <f t="shared" si="0"/>
        <v xml:space="preserve"> </v>
      </c>
    </row>
    <row r="29" spans="1:6" s="288" customFormat="1" ht="38.25">
      <c r="A29" s="429" t="s">
        <v>146</v>
      </c>
      <c r="B29" s="284" t="s">
        <v>166</v>
      </c>
      <c r="C29" s="287">
        <v>1</v>
      </c>
      <c r="D29" s="314" t="s">
        <v>128</v>
      </c>
      <c r="E29" s="520"/>
      <c r="F29" s="488" t="str">
        <f t="shared" si="0"/>
        <v xml:space="preserve"> </v>
      </c>
    </row>
    <row r="30" spans="1:6" s="288" customFormat="1">
      <c r="A30" s="429" t="s">
        <v>146</v>
      </c>
      <c r="B30" s="284" t="s">
        <v>167</v>
      </c>
      <c r="C30" s="287">
        <v>1</v>
      </c>
      <c r="D30" s="314" t="s">
        <v>128</v>
      </c>
      <c r="E30" s="520"/>
      <c r="F30" s="488" t="str">
        <f t="shared" si="0"/>
        <v xml:space="preserve"> </v>
      </c>
    </row>
    <row r="31" spans="1:6" s="288" customFormat="1">
      <c r="A31" s="429" t="s">
        <v>146</v>
      </c>
      <c r="B31" s="284" t="s">
        <v>168</v>
      </c>
      <c r="C31" s="287">
        <v>1</v>
      </c>
      <c r="D31" s="314" t="s">
        <v>128</v>
      </c>
      <c r="E31" s="520"/>
      <c r="F31" s="488" t="str">
        <f t="shared" si="0"/>
        <v xml:space="preserve"> </v>
      </c>
    </row>
    <row r="32" spans="1:6" s="293" customFormat="1" ht="38.25">
      <c r="A32" s="428" t="s">
        <v>146</v>
      </c>
      <c r="B32" s="284" t="s">
        <v>169</v>
      </c>
      <c r="C32" s="287">
        <v>2</v>
      </c>
      <c r="D32" s="314" t="s">
        <v>128</v>
      </c>
      <c r="E32" s="520"/>
      <c r="F32" s="488" t="str">
        <f t="shared" si="0"/>
        <v xml:space="preserve"> </v>
      </c>
    </row>
    <row r="33" spans="1:21" s="288" customFormat="1">
      <c r="A33" s="429" t="s">
        <v>146</v>
      </c>
      <c r="B33" s="284" t="s">
        <v>170</v>
      </c>
      <c r="C33" s="287">
        <v>1</v>
      </c>
      <c r="D33" s="314" t="s">
        <v>128</v>
      </c>
      <c r="E33" s="520"/>
      <c r="F33" s="488" t="str">
        <f t="shared" si="0"/>
        <v xml:space="preserve"> </v>
      </c>
    </row>
    <row r="34" spans="1:21" s="299" customFormat="1" ht="25.5">
      <c r="A34" s="294" t="s">
        <v>146</v>
      </c>
      <c r="B34" s="295" t="s">
        <v>171</v>
      </c>
      <c r="C34" s="296">
        <v>1</v>
      </c>
      <c r="D34" s="340" t="s">
        <v>128</v>
      </c>
      <c r="E34" s="520"/>
      <c r="F34" s="488" t="str">
        <f t="shared" si="0"/>
        <v xml:space="preserve"> </v>
      </c>
      <c r="G34" s="298"/>
      <c r="H34" s="298"/>
      <c r="I34" s="298"/>
      <c r="J34" s="298"/>
      <c r="K34" s="298"/>
      <c r="L34" s="298"/>
      <c r="M34" s="298"/>
      <c r="N34" s="298"/>
      <c r="O34" s="298"/>
      <c r="P34" s="298"/>
      <c r="Q34" s="298"/>
      <c r="R34" s="298"/>
      <c r="S34" s="298"/>
      <c r="T34" s="298"/>
      <c r="U34" s="298"/>
    </row>
    <row r="35" spans="1:21" s="299" customFormat="1" ht="25.5">
      <c r="A35" s="294" t="s">
        <v>146</v>
      </c>
      <c r="B35" s="295" t="s">
        <v>172</v>
      </c>
      <c r="C35" s="296">
        <v>1</v>
      </c>
      <c r="D35" s="340" t="s">
        <v>128</v>
      </c>
      <c r="E35" s="520"/>
      <c r="F35" s="488" t="str">
        <f t="shared" si="0"/>
        <v xml:space="preserve"> </v>
      </c>
      <c r="G35" s="298"/>
      <c r="H35" s="298"/>
      <c r="I35" s="298"/>
      <c r="J35" s="298"/>
      <c r="K35" s="298"/>
      <c r="L35" s="298"/>
      <c r="M35" s="298"/>
      <c r="N35" s="298"/>
      <c r="O35" s="298"/>
      <c r="P35" s="298"/>
      <c r="Q35" s="298"/>
      <c r="R35" s="298"/>
      <c r="S35" s="298"/>
      <c r="T35" s="298"/>
      <c r="U35" s="298"/>
    </row>
    <row r="36" spans="1:21" s="299" customFormat="1" ht="15">
      <c r="A36" s="294" t="s">
        <v>146</v>
      </c>
      <c r="B36" s="295" t="s">
        <v>173</v>
      </c>
      <c r="C36" s="296">
        <v>2</v>
      </c>
      <c r="D36" s="340" t="s">
        <v>128</v>
      </c>
      <c r="E36" s="520"/>
      <c r="F36" s="488" t="str">
        <f t="shared" si="0"/>
        <v xml:space="preserve"> </v>
      </c>
      <c r="G36" s="298"/>
      <c r="H36" s="298"/>
      <c r="I36" s="298"/>
      <c r="J36" s="298"/>
      <c r="K36" s="298"/>
      <c r="L36" s="298"/>
      <c r="M36" s="298"/>
      <c r="N36" s="298"/>
      <c r="O36" s="298"/>
      <c r="P36" s="298"/>
      <c r="Q36" s="298"/>
      <c r="R36" s="298"/>
      <c r="S36" s="298"/>
      <c r="T36" s="298"/>
      <c r="U36" s="298"/>
    </row>
    <row r="37" spans="1:21" s="288" customFormat="1">
      <c r="A37" s="429" t="s">
        <v>146</v>
      </c>
      <c r="B37" s="284" t="s">
        <v>174</v>
      </c>
      <c r="C37" s="287">
        <v>1</v>
      </c>
      <c r="D37" s="314" t="s">
        <v>128</v>
      </c>
      <c r="E37" s="520"/>
      <c r="F37" s="488" t="str">
        <f t="shared" si="0"/>
        <v xml:space="preserve"> </v>
      </c>
    </row>
    <row r="38" spans="1:21" s="292" customFormat="1" ht="51">
      <c r="A38" s="429" t="s">
        <v>146</v>
      </c>
      <c r="B38" s="290" t="s">
        <v>175</v>
      </c>
      <c r="C38" s="300">
        <v>1</v>
      </c>
      <c r="D38" s="339" t="s">
        <v>6</v>
      </c>
      <c r="E38" s="520"/>
      <c r="F38" s="488" t="str">
        <f t="shared" si="0"/>
        <v xml:space="preserve"> </v>
      </c>
    </row>
    <row r="39" spans="1:21" s="293" customFormat="1" ht="25.5">
      <c r="A39" s="428" t="s">
        <v>146</v>
      </c>
      <c r="B39" s="284" t="s">
        <v>176</v>
      </c>
      <c r="C39" s="287">
        <v>7</v>
      </c>
      <c r="D39" s="314" t="s">
        <v>128</v>
      </c>
      <c r="E39" s="520"/>
      <c r="F39" s="488" t="str">
        <f t="shared" si="0"/>
        <v xml:space="preserve"> </v>
      </c>
    </row>
    <row r="40" spans="1:21" s="288" customFormat="1" ht="25.5">
      <c r="A40" s="429" t="s">
        <v>146</v>
      </c>
      <c r="B40" s="284" t="s">
        <v>177</v>
      </c>
      <c r="C40" s="287">
        <v>6</v>
      </c>
      <c r="D40" s="314" t="s">
        <v>128</v>
      </c>
      <c r="E40" s="520"/>
      <c r="F40" s="488" t="str">
        <f t="shared" si="0"/>
        <v xml:space="preserve"> </v>
      </c>
    </row>
    <row r="41" spans="1:21" s="288" customFormat="1">
      <c r="A41" s="429" t="s">
        <v>146</v>
      </c>
      <c r="B41" s="284" t="s">
        <v>178</v>
      </c>
      <c r="C41" s="287">
        <v>1</v>
      </c>
      <c r="D41" s="314" t="s">
        <v>128</v>
      </c>
      <c r="E41" s="520"/>
      <c r="F41" s="488" t="str">
        <f t="shared" si="0"/>
        <v xml:space="preserve"> </v>
      </c>
    </row>
    <row r="42" spans="1:21" s="288" customFormat="1">
      <c r="A42" s="429" t="s">
        <v>146</v>
      </c>
      <c r="B42" s="284" t="s">
        <v>179</v>
      </c>
      <c r="C42" s="287">
        <v>1</v>
      </c>
      <c r="D42" s="314" t="s">
        <v>128</v>
      </c>
      <c r="E42" s="520"/>
      <c r="F42" s="488" t="str">
        <f t="shared" si="0"/>
        <v xml:space="preserve"> </v>
      </c>
    </row>
    <row r="43" spans="1:21" s="288" customFormat="1">
      <c r="A43" s="429" t="s">
        <v>146</v>
      </c>
      <c r="B43" s="284" t="s">
        <v>180</v>
      </c>
      <c r="C43" s="287">
        <v>1</v>
      </c>
      <c r="D43" s="314" t="s">
        <v>128</v>
      </c>
      <c r="E43" s="520"/>
      <c r="F43" s="488" t="str">
        <f t="shared" si="0"/>
        <v xml:space="preserve"> </v>
      </c>
    </row>
    <row r="44" spans="1:21" s="297" customFormat="1">
      <c r="A44" s="294"/>
      <c r="B44" s="295" t="s">
        <v>181</v>
      </c>
      <c r="C44" s="301"/>
      <c r="D44" s="340"/>
      <c r="E44" s="520"/>
      <c r="F44" s="488" t="str">
        <f t="shared" si="0"/>
        <v xml:space="preserve"> </v>
      </c>
    </row>
    <row r="45" spans="1:21" s="297" customFormat="1" ht="25.5">
      <c r="A45" s="428" t="s">
        <v>146</v>
      </c>
      <c r="B45" s="302" t="s">
        <v>182</v>
      </c>
      <c r="C45" s="301">
        <v>1</v>
      </c>
      <c r="D45" s="340" t="s">
        <v>128</v>
      </c>
      <c r="E45" s="520"/>
      <c r="F45" s="488" t="str">
        <f t="shared" si="0"/>
        <v xml:space="preserve"> </v>
      </c>
      <c r="G45" s="303"/>
    </row>
    <row r="46" spans="1:21" s="297" customFormat="1">
      <c r="A46" s="428" t="s">
        <v>146</v>
      </c>
      <c r="B46" s="304" t="s">
        <v>183</v>
      </c>
      <c r="C46" s="301">
        <v>1</v>
      </c>
      <c r="D46" s="340" t="s">
        <v>128</v>
      </c>
      <c r="E46" s="520"/>
      <c r="F46" s="488" t="str">
        <f t="shared" si="0"/>
        <v xml:space="preserve"> </v>
      </c>
    </row>
    <row r="47" spans="1:21" s="297" customFormat="1" ht="25.5">
      <c r="A47" s="428" t="s">
        <v>146</v>
      </c>
      <c r="B47" s="304" t="s">
        <v>184</v>
      </c>
      <c r="C47" s="301">
        <v>1</v>
      </c>
      <c r="D47" s="340" t="s">
        <v>128</v>
      </c>
      <c r="E47" s="520"/>
      <c r="F47" s="488" t="str">
        <f t="shared" si="0"/>
        <v xml:space="preserve"> </v>
      </c>
    </row>
    <row r="48" spans="1:21" s="297" customFormat="1">
      <c r="A48" s="428" t="s">
        <v>146</v>
      </c>
      <c r="B48" s="304" t="s">
        <v>185</v>
      </c>
      <c r="C48" s="301">
        <v>1</v>
      </c>
      <c r="D48" s="340" t="s">
        <v>128</v>
      </c>
      <c r="E48" s="520"/>
      <c r="F48" s="488" t="str">
        <f t="shared" si="0"/>
        <v xml:space="preserve"> </v>
      </c>
    </row>
    <row r="49" spans="1:8" s="297" customFormat="1" ht="63.75">
      <c r="A49" s="305" t="s">
        <v>146</v>
      </c>
      <c r="B49" s="306" t="s">
        <v>186</v>
      </c>
      <c r="C49" s="307">
        <v>1</v>
      </c>
      <c r="D49" s="341" t="s">
        <v>187</v>
      </c>
      <c r="E49" s="520"/>
      <c r="F49" s="488" t="str">
        <f t="shared" si="0"/>
        <v xml:space="preserve"> </v>
      </c>
      <c r="G49" s="303"/>
      <c r="H49" s="308"/>
    </row>
    <row r="50" spans="1:8" s="293" customFormat="1" ht="27" customHeight="1">
      <c r="A50" s="428" t="s">
        <v>146</v>
      </c>
      <c r="B50" s="284" t="s">
        <v>188</v>
      </c>
      <c r="C50" s="287">
        <v>1</v>
      </c>
      <c r="D50" s="314" t="s">
        <v>187</v>
      </c>
      <c r="E50" s="520"/>
      <c r="F50" s="488" t="str">
        <f t="shared" si="0"/>
        <v xml:space="preserve"> </v>
      </c>
    </row>
    <row r="51" spans="1:8" s="297" customFormat="1" ht="25.5">
      <c r="A51" s="431" t="s">
        <v>146</v>
      </c>
      <c r="B51" s="293" t="s">
        <v>189</v>
      </c>
      <c r="C51" s="301">
        <v>1</v>
      </c>
      <c r="D51" s="340" t="s">
        <v>187</v>
      </c>
      <c r="E51" s="520"/>
      <c r="F51" s="488" t="str">
        <f t="shared" si="0"/>
        <v xml:space="preserve"> </v>
      </c>
    </row>
    <row r="52" spans="1:8" s="297" customFormat="1" ht="25.5">
      <c r="A52" s="305" t="s">
        <v>146</v>
      </c>
      <c r="B52" s="306" t="s">
        <v>190</v>
      </c>
      <c r="C52" s="307">
        <v>1</v>
      </c>
      <c r="D52" s="341" t="s">
        <v>187</v>
      </c>
      <c r="E52" s="520"/>
      <c r="F52" s="488" t="str">
        <f t="shared" si="0"/>
        <v xml:space="preserve"> </v>
      </c>
      <c r="G52" s="308"/>
      <c r="H52" s="308"/>
    </row>
    <row r="53" spans="1:8" s="297" customFormat="1" ht="25.5">
      <c r="A53" s="428" t="s">
        <v>146</v>
      </c>
      <c r="B53" s="293" t="s">
        <v>191</v>
      </c>
      <c r="C53" s="301">
        <v>1</v>
      </c>
      <c r="D53" s="340" t="s">
        <v>128</v>
      </c>
      <c r="E53" s="520"/>
      <c r="F53" s="488" t="str">
        <f t="shared" si="0"/>
        <v xml:space="preserve"> </v>
      </c>
    </row>
    <row r="54" spans="1:8" s="297" customFormat="1" ht="38.25">
      <c r="A54" s="428" t="s">
        <v>146</v>
      </c>
      <c r="B54" s="293" t="s">
        <v>192</v>
      </c>
      <c r="C54" s="301">
        <v>1</v>
      </c>
      <c r="D54" s="340" t="s">
        <v>128</v>
      </c>
      <c r="E54" s="520"/>
      <c r="F54" s="488" t="str">
        <f t="shared" si="0"/>
        <v xml:space="preserve"> </v>
      </c>
    </row>
    <row r="55" spans="1:8" s="297" customFormat="1">
      <c r="A55" s="428" t="s">
        <v>146</v>
      </c>
      <c r="B55" s="293" t="s">
        <v>193</v>
      </c>
      <c r="C55" s="301">
        <v>1</v>
      </c>
      <c r="D55" s="340" t="s">
        <v>128</v>
      </c>
      <c r="E55" s="520"/>
      <c r="F55" s="488" t="str">
        <f t="shared" si="0"/>
        <v xml:space="preserve"> </v>
      </c>
    </row>
    <row r="56" spans="1:8" s="288" customFormat="1">
      <c r="A56" s="429" t="s">
        <v>146</v>
      </c>
      <c r="B56" s="284" t="s">
        <v>194</v>
      </c>
      <c r="C56" s="287">
        <v>8</v>
      </c>
      <c r="D56" s="314" t="s">
        <v>128</v>
      </c>
      <c r="E56" s="520"/>
      <c r="F56" s="488" t="str">
        <f t="shared" si="0"/>
        <v xml:space="preserve"> </v>
      </c>
    </row>
    <row r="57" spans="1:8" s="288" customFormat="1">
      <c r="A57" s="429" t="s">
        <v>146</v>
      </c>
      <c r="B57" s="284" t="s">
        <v>195</v>
      </c>
      <c r="C57" s="287">
        <v>8</v>
      </c>
      <c r="D57" s="314" t="s">
        <v>128</v>
      </c>
      <c r="E57" s="520"/>
      <c r="F57" s="488" t="str">
        <f t="shared" si="0"/>
        <v xml:space="preserve"> </v>
      </c>
    </row>
    <row r="58" spans="1:8" s="288" customFormat="1">
      <c r="A58" s="429" t="s">
        <v>146</v>
      </c>
      <c r="B58" s="284" t="s">
        <v>196</v>
      </c>
      <c r="C58" s="287">
        <v>40</v>
      </c>
      <c r="D58" s="314" t="s">
        <v>128</v>
      </c>
      <c r="E58" s="520"/>
      <c r="F58" s="488" t="str">
        <f t="shared" si="0"/>
        <v xml:space="preserve"> </v>
      </c>
    </row>
    <row r="59" spans="1:8" s="311" customFormat="1">
      <c r="A59" s="432" t="s">
        <v>146</v>
      </c>
      <c r="B59" s="309" t="s">
        <v>197</v>
      </c>
      <c r="C59" s="310">
        <v>2</v>
      </c>
      <c r="D59" s="310" t="s">
        <v>9</v>
      </c>
      <c r="E59" s="520"/>
      <c r="F59" s="488" t="str">
        <f t="shared" si="0"/>
        <v xml:space="preserve"> </v>
      </c>
    </row>
    <row r="60" spans="1:8" s="288" customFormat="1">
      <c r="A60" s="429" t="s">
        <v>146</v>
      </c>
      <c r="B60" s="284" t="s">
        <v>198</v>
      </c>
      <c r="C60" s="287">
        <v>1</v>
      </c>
      <c r="D60" s="314" t="s">
        <v>187</v>
      </c>
      <c r="E60" s="521"/>
      <c r="F60" s="488" t="str">
        <f t="shared" si="0"/>
        <v xml:space="preserve"> </v>
      </c>
    </row>
    <row r="61" spans="1:8" s="288" customFormat="1">
      <c r="A61" s="429"/>
      <c r="B61" s="284"/>
      <c r="C61" s="287"/>
      <c r="D61" s="314"/>
      <c r="E61" s="489"/>
      <c r="F61" s="487" t="s">
        <v>199</v>
      </c>
    </row>
    <row r="62" spans="1:8" s="272" customFormat="1">
      <c r="A62" s="429"/>
      <c r="B62" s="312" t="s">
        <v>200</v>
      </c>
      <c r="C62" s="313"/>
      <c r="D62" s="342"/>
      <c r="E62" s="522"/>
      <c r="F62" s="491">
        <f>SUM(F10:F60)</f>
        <v>0</v>
      </c>
    </row>
    <row r="63" spans="1:8" s="272" customFormat="1">
      <c r="A63" s="429"/>
      <c r="B63" s="282"/>
      <c r="C63" s="314"/>
      <c r="D63" s="314"/>
      <c r="E63" s="492" t="str">
        <f>IF(AND(ISNUMBER(#REF!),ISNUMBER(#REF!)),ROUND((#REF!*#REF!+#REF!*#REF!*#REF!)*(1+#REF!)*#REF!*#REF!*#REF!,2)," ")</f>
        <v xml:space="preserve"> </v>
      </c>
      <c r="F63" s="492"/>
    </row>
    <row r="64" spans="1:8" s="272" customFormat="1">
      <c r="A64" s="312" t="s">
        <v>201</v>
      </c>
      <c r="B64" s="315" t="s">
        <v>202</v>
      </c>
      <c r="C64" s="314"/>
      <c r="D64" s="314"/>
      <c r="E64" s="492" t="str">
        <f>IF(AND(ISNUMBER(#REF!),ISNUMBER(#REF!)),ROUND((#REF!*#REF!+#REF!*#REF!*#REF!)*(1+#REF!)*#REF!*#REF!*#REF!,2)," ")</f>
        <v xml:space="preserve"> </v>
      </c>
      <c r="F64" s="492"/>
    </row>
    <row r="65" spans="1:6" s="272" customFormat="1">
      <c r="A65" s="428"/>
      <c r="B65" s="282" t="s">
        <v>145</v>
      </c>
      <c r="C65" s="314"/>
      <c r="D65" s="314"/>
      <c r="E65" s="492" t="str">
        <f>IF(AND(ISNUMBER(#REF!),ISNUMBER(#REF!)),ROUND((#REF!*#REF!+#REF!*#REF!*#REF!)*(1+#REF!)*#REF!*#REF!*#REF!,2)," ")</f>
        <v xml:space="preserve"> </v>
      </c>
      <c r="F65" s="492"/>
    </row>
    <row r="66" spans="1:6" s="272" customFormat="1">
      <c r="A66" s="428"/>
      <c r="B66" s="282"/>
      <c r="C66" s="314"/>
      <c r="D66" s="314"/>
      <c r="E66" s="492"/>
      <c r="F66" s="492"/>
    </row>
    <row r="67" spans="1:6" s="318" customFormat="1">
      <c r="A67" s="433" t="s">
        <v>146</v>
      </c>
      <c r="B67" s="316" t="s">
        <v>203</v>
      </c>
      <c r="C67" s="317">
        <v>5</v>
      </c>
      <c r="D67" s="343" t="s">
        <v>9</v>
      </c>
      <c r="E67" s="520"/>
      <c r="F67" s="488" t="str">
        <f t="shared" ref="F67:F71" si="1">IF(AND(ISNUMBER(C67),ISNUMBER(E67)),C67*E67," ")</f>
        <v xml:space="preserve"> </v>
      </c>
    </row>
    <row r="68" spans="1:6" s="318" customFormat="1">
      <c r="A68" s="433" t="s">
        <v>146</v>
      </c>
      <c r="B68" s="316" t="s">
        <v>204</v>
      </c>
      <c r="C68" s="317">
        <v>2</v>
      </c>
      <c r="D68" s="343" t="s">
        <v>9</v>
      </c>
      <c r="E68" s="520"/>
      <c r="F68" s="488" t="str">
        <f t="shared" si="1"/>
        <v xml:space="preserve"> </v>
      </c>
    </row>
    <row r="69" spans="1:6" s="272" customFormat="1">
      <c r="A69" s="433" t="s">
        <v>146</v>
      </c>
      <c r="B69" s="284" t="s">
        <v>205</v>
      </c>
      <c r="C69" s="314">
        <v>40</v>
      </c>
      <c r="D69" s="287" t="s">
        <v>9</v>
      </c>
      <c r="E69" s="520"/>
      <c r="F69" s="488" t="str">
        <f t="shared" si="1"/>
        <v xml:space="preserve"> </v>
      </c>
    </row>
    <row r="70" spans="1:6" s="272" customFormat="1">
      <c r="A70" s="433" t="s">
        <v>146</v>
      </c>
      <c r="B70" s="284" t="s">
        <v>206</v>
      </c>
      <c r="C70" s="314">
        <v>30</v>
      </c>
      <c r="D70" s="287" t="s">
        <v>9</v>
      </c>
      <c r="E70" s="520"/>
      <c r="F70" s="488" t="str">
        <f t="shared" si="1"/>
        <v xml:space="preserve"> </v>
      </c>
    </row>
    <row r="71" spans="1:6" s="272" customFormat="1">
      <c r="A71" s="433" t="s">
        <v>146</v>
      </c>
      <c r="B71" s="284" t="s">
        <v>207</v>
      </c>
      <c r="C71" s="314">
        <v>40</v>
      </c>
      <c r="D71" s="287" t="s">
        <v>9</v>
      </c>
      <c r="E71" s="520"/>
      <c r="F71" s="488" t="str">
        <f t="shared" si="1"/>
        <v xml:space="preserve"> </v>
      </c>
    </row>
    <row r="72" spans="1:6" s="272" customFormat="1">
      <c r="A72" s="429"/>
      <c r="B72" s="282"/>
      <c r="C72" s="314"/>
      <c r="D72" s="314"/>
      <c r="E72" s="492"/>
      <c r="F72" s="492"/>
    </row>
    <row r="73" spans="1:6" s="272" customFormat="1">
      <c r="A73" s="429"/>
      <c r="B73" s="312" t="s">
        <v>208</v>
      </c>
      <c r="C73" s="313"/>
      <c r="D73" s="342"/>
      <c r="E73" s="522"/>
      <c r="F73" s="490">
        <f>SUM(F67:F71)</f>
        <v>0</v>
      </c>
    </row>
    <row r="74" spans="1:6" s="272" customFormat="1">
      <c r="A74" s="429"/>
      <c r="B74" s="312"/>
      <c r="C74" s="313"/>
      <c r="D74" s="342"/>
      <c r="E74" s="490"/>
      <c r="F74" s="490"/>
    </row>
    <row r="75" spans="1:6" s="272" customFormat="1">
      <c r="A75" s="429"/>
      <c r="B75" s="282"/>
      <c r="C75" s="314"/>
      <c r="D75" s="314"/>
      <c r="E75" s="492"/>
      <c r="F75" s="492"/>
    </row>
    <row r="76" spans="1:6" s="272" customFormat="1">
      <c r="A76" s="312" t="s">
        <v>209</v>
      </c>
      <c r="B76" s="319" t="s">
        <v>210</v>
      </c>
      <c r="C76" s="314"/>
      <c r="D76" s="314"/>
      <c r="E76" s="492"/>
      <c r="F76" s="492"/>
    </row>
    <row r="77" spans="1:6" s="272" customFormat="1">
      <c r="A77" s="428"/>
      <c r="B77" s="282" t="s">
        <v>145</v>
      </c>
      <c r="C77" s="314"/>
      <c r="D77" s="314"/>
      <c r="E77" s="492"/>
      <c r="F77" s="492"/>
    </row>
    <row r="78" spans="1:6" s="272" customFormat="1">
      <c r="A78" s="428"/>
      <c r="B78" s="282"/>
      <c r="C78" s="314"/>
      <c r="D78" s="314"/>
      <c r="E78" s="492"/>
      <c r="F78" s="492"/>
    </row>
    <row r="79" spans="1:6" s="321" customFormat="1">
      <c r="A79" s="320" t="s">
        <v>146</v>
      </c>
      <c r="B79" s="321" t="s">
        <v>211</v>
      </c>
      <c r="C79" s="300">
        <v>15</v>
      </c>
      <c r="D79" s="287" t="s">
        <v>9</v>
      </c>
      <c r="E79" s="520"/>
      <c r="F79" s="488" t="str">
        <f t="shared" ref="F79:F100" si="2">IF(AND(ISNUMBER(C79),ISNUMBER(E79)),C79*E79," ")</f>
        <v xml:space="preserve"> </v>
      </c>
    </row>
    <row r="80" spans="1:6" s="321" customFormat="1">
      <c r="A80" s="320" t="s">
        <v>146</v>
      </c>
      <c r="B80" s="321" t="s">
        <v>212</v>
      </c>
      <c r="C80" s="300">
        <v>10</v>
      </c>
      <c r="D80" s="287" t="s">
        <v>9</v>
      </c>
      <c r="E80" s="520"/>
      <c r="F80" s="488" t="str">
        <f t="shared" si="2"/>
        <v xml:space="preserve"> </v>
      </c>
    </row>
    <row r="81" spans="1:8" s="272" customFormat="1" ht="25.5">
      <c r="A81" s="305" t="s">
        <v>146</v>
      </c>
      <c r="B81" s="306" t="s">
        <v>213</v>
      </c>
      <c r="C81" s="307">
        <v>1</v>
      </c>
      <c r="D81" s="341" t="s">
        <v>128</v>
      </c>
      <c r="E81" s="520"/>
      <c r="F81" s="488" t="str">
        <f t="shared" si="2"/>
        <v xml:space="preserve"> </v>
      </c>
      <c r="G81" s="308"/>
      <c r="H81" s="308"/>
    </row>
    <row r="82" spans="1:8" s="272" customFormat="1" ht="25.5">
      <c r="A82" s="305" t="s">
        <v>146</v>
      </c>
      <c r="B82" s="306" t="s">
        <v>214</v>
      </c>
      <c r="C82" s="307">
        <v>1</v>
      </c>
      <c r="D82" s="341" t="s">
        <v>128</v>
      </c>
      <c r="E82" s="520"/>
      <c r="F82" s="488" t="str">
        <f t="shared" si="2"/>
        <v xml:space="preserve"> </v>
      </c>
      <c r="G82" s="308"/>
      <c r="H82" s="308"/>
    </row>
    <row r="83" spans="1:8" s="272" customFormat="1">
      <c r="A83" s="305" t="s">
        <v>146</v>
      </c>
      <c r="B83" s="306" t="s">
        <v>215</v>
      </c>
      <c r="C83" s="307">
        <v>2</v>
      </c>
      <c r="D83" s="341" t="s">
        <v>128</v>
      </c>
      <c r="E83" s="520"/>
      <c r="F83" s="488" t="str">
        <f t="shared" si="2"/>
        <v xml:space="preserve"> </v>
      </c>
      <c r="G83" s="308"/>
      <c r="H83" s="308"/>
    </row>
    <row r="84" spans="1:8" s="272" customFormat="1" ht="25.5">
      <c r="A84" s="305" t="s">
        <v>146</v>
      </c>
      <c r="B84" s="306" t="s">
        <v>216</v>
      </c>
      <c r="C84" s="307">
        <v>4</v>
      </c>
      <c r="D84" s="341" t="s">
        <v>128</v>
      </c>
      <c r="E84" s="520"/>
      <c r="F84" s="488" t="str">
        <f t="shared" si="2"/>
        <v xml:space="preserve"> </v>
      </c>
      <c r="G84" s="308"/>
      <c r="H84" s="308"/>
    </row>
    <row r="85" spans="1:8" s="272" customFormat="1" ht="25.5">
      <c r="A85" s="305" t="s">
        <v>146</v>
      </c>
      <c r="B85" s="306" t="s">
        <v>217</v>
      </c>
      <c r="C85" s="307">
        <v>3</v>
      </c>
      <c r="D85" s="341" t="s">
        <v>9</v>
      </c>
      <c r="E85" s="520"/>
      <c r="F85" s="488" t="str">
        <f t="shared" si="2"/>
        <v xml:space="preserve"> </v>
      </c>
      <c r="G85" s="308"/>
      <c r="H85" s="308"/>
    </row>
    <row r="86" spans="1:8" s="272" customFormat="1" ht="25.5">
      <c r="A86" s="305" t="s">
        <v>146</v>
      </c>
      <c r="B86" s="306" t="s">
        <v>218</v>
      </c>
      <c r="C86" s="307">
        <v>3</v>
      </c>
      <c r="D86" s="341" t="s">
        <v>9</v>
      </c>
      <c r="E86" s="520"/>
      <c r="F86" s="488" t="str">
        <f t="shared" si="2"/>
        <v xml:space="preserve"> </v>
      </c>
      <c r="G86" s="308"/>
      <c r="H86" s="308"/>
    </row>
    <row r="87" spans="1:8" s="272" customFormat="1" ht="25.5">
      <c r="A87" s="305" t="s">
        <v>146</v>
      </c>
      <c r="B87" s="306" t="s">
        <v>219</v>
      </c>
      <c r="C87" s="307">
        <v>4</v>
      </c>
      <c r="D87" s="341" t="s">
        <v>9</v>
      </c>
      <c r="E87" s="520"/>
      <c r="F87" s="488" t="str">
        <f t="shared" si="2"/>
        <v xml:space="preserve"> </v>
      </c>
      <c r="G87" s="308"/>
      <c r="H87" s="308"/>
    </row>
    <row r="88" spans="1:8" s="272" customFormat="1">
      <c r="A88" s="305" t="s">
        <v>146</v>
      </c>
      <c r="B88" s="306" t="s">
        <v>220</v>
      </c>
      <c r="C88" s="307">
        <v>1</v>
      </c>
      <c r="D88" s="341" t="s">
        <v>128</v>
      </c>
      <c r="E88" s="520"/>
      <c r="F88" s="488" t="str">
        <f t="shared" si="2"/>
        <v xml:space="preserve"> </v>
      </c>
      <c r="G88" s="308"/>
      <c r="H88" s="308"/>
    </row>
    <row r="89" spans="1:8" s="272" customFormat="1">
      <c r="A89" s="305" t="s">
        <v>146</v>
      </c>
      <c r="B89" s="306" t="s">
        <v>221</v>
      </c>
      <c r="C89" s="307">
        <v>90</v>
      </c>
      <c r="D89" s="341" t="s">
        <v>9</v>
      </c>
      <c r="E89" s="520"/>
      <c r="F89" s="488" t="str">
        <f t="shared" si="2"/>
        <v xml:space="preserve"> </v>
      </c>
      <c r="G89" s="308"/>
      <c r="H89" s="308"/>
    </row>
    <row r="90" spans="1:8" s="272" customFormat="1">
      <c r="A90" s="305" t="s">
        <v>146</v>
      </c>
      <c r="B90" s="306" t="s">
        <v>222</v>
      </c>
      <c r="C90" s="307">
        <v>10</v>
      </c>
      <c r="D90" s="341" t="s">
        <v>187</v>
      </c>
      <c r="E90" s="520"/>
      <c r="F90" s="488" t="str">
        <f t="shared" si="2"/>
        <v xml:space="preserve"> </v>
      </c>
      <c r="G90" s="308"/>
      <c r="H90" s="308"/>
    </row>
    <row r="91" spans="1:8" s="318" customFormat="1">
      <c r="A91" s="433" t="s">
        <v>146</v>
      </c>
      <c r="B91" s="306" t="s">
        <v>223</v>
      </c>
      <c r="C91" s="317">
        <v>1</v>
      </c>
      <c r="D91" s="343" t="s">
        <v>128</v>
      </c>
      <c r="E91" s="520"/>
      <c r="F91" s="488" t="str">
        <f t="shared" si="2"/>
        <v xml:space="preserve"> </v>
      </c>
    </row>
    <row r="92" spans="1:8" s="272" customFormat="1">
      <c r="A92" s="433" t="s">
        <v>146</v>
      </c>
      <c r="B92" s="284" t="s">
        <v>224</v>
      </c>
      <c r="C92" s="314">
        <v>20</v>
      </c>
      <c r="D92" s="287" t="s">
        <v>128</v>
      </c>
      <c r="E92" s="520"/>
      <c r="F92" s="488" t="str">
        <f t="shared" si="2"/>
        <v xml:space="preserve"> </v>
      </c>
    </row>
    <row r="93" spans="1:8" s="272" customFormat="1" ht="25.5">
      <c r="A93" s="433" t="s">
        <v>146</v>
      </c>
      <c r="B93" s="322" t="s">
        <v>225</v>
      </c>
      <c r="C93" s="323">
        <v>20</v>
      </c>
      <c r="D93" s="344" t="s">
        <v>128</v>
      </c>
      <c r="E93" s="520"/>
      <c r="F93" s="488" t="str">
        <f t="shared" si="2"/>
        <v xml:space="preserve"> </v>
      </c>
      <c r="G93" s="323"/>
    </row>
    <row r="94" spans="1:8" s="272" customFormat="1">
      <c r="A94" s="433" t="s">
        <v>146</v>
      </c>
      <c r="B94" s="284" t="s">
        <v>226</v>
      </c>
      <c r="C94" s="314">
        <v>1</v>
      </c>
      <c r="D94" s="287" t="s">
        <v>227</v>
      </c>
      <c r="E94" s="520"/>
      <c r="F94" s="488" t="str">
        <f t="shared" si="2"/>
        <v xml:space="preserve"> </v>
      </c>
    </row>
    <row r="95" spans="1:8" s="272" customFormat="1" ht="25.5">
      <c r="A95" s="433" t="s">
        <v>146</v>
      </c>
      <c r="B95" s="321" t="s">
        <v>228</v>
      </c>
      <c r="C95" s="314">
        <v>10</v>
      </c>
      <c r="D95" s="287" t="s">
        <v>128</v>
      </c>
      <c r="E95" s="520"/>
      <c r="F95" s="488" t="str">
        <f t="shared" si="2"/>
        <v xml:space="preserve"> </v>
      </c>
    </row>
    <row r="96" spans="1:8" s="272" customFormat="1" ht="25.5">
      <c r="A96" s="433" t="s">
        <v>146</v>
      </c>
      <c r="B96" s="321" t="s">
        <v>229</v>
      </c>
      <c r="C96" s="314">
        <v>6</v>
      </c>
      <c r="D96" s="287" t="s">
        <v>128</v>
      </c>
      <c r="E96" s="520"/>
      <c r="F96" s="488" t="str">
        <f t="shared" si="2"/>
        <v xml:space="preserve"> </v>
      </c>
    </row>
    <row r="97" spans="1:8" s="272" customFormat="1" ht="25.5">
      <c r="A97" s="305" t="s">
        <v>146</v>
      </c>
      <c r="B97" s="306" t="s">
        <v>230</v>
      </c>
      <c r="C97" s="307">
        <v>1</v>
      </c>
      <c r="D97" s="341" t="s">
        <v>6</v>
      </c>
      <c r="E97" s="520"/>
      <c r="F97" s="488" t="str">
        <f t="shared" si="2"/>
        <v xml:space="preserve"> </v>
      </c>
      <c r="G97" s="308"/>
      <c r="H97" s="308"/>
    </row>
    <row r="98" spans="1:8" s="297" customFormat="1" ht="49.5" customHeight="1">
      <c r="A98" s="429" t="s">
        <v>146</v>
      </c>
      <c r="B98" s="293" t="s">
        <v>231</v>
      </c>
      <c r="C98" s="301">
        <v>1</v>
      </c>
      <c r="D98" s="340" t="s">
        <v>187</v>
      </c>
      <c r="E98" s="520"/>
      <c r="F98" s="488" t="str">
        <f t="shared" si="2"/>
        <v xml:space="preserve"> </v>
      </c>
    </row>
    <row r="99" spans="1:8" s="297" customFormat="1">
      <c r="A99" s="429" t="s">
        <v>146</v>
      </c>
      <c r="B99" s="293" t="s">
        <v>232</v>
      </c>
      <c r="C99" s="301">
        <v>2</v>
      </c>
      <c r="D99" s="340" t="s">
        <v>187</v>
      </c>
      <c r="E99" s="520"/>
      <c r="F99" s="488" t="str">
        <f t="shared" si="2"/>
        <v xml:space="preserve"> </v>
      </c>
    </row>
    <row r="100" spans="1:8" s="272" customFormat="1">
      <c r="A100" s="433" t="s">
        <v>146</v>
      </c>
      <c r="B100" s="284" t="s">
        <v>233</v>
      </c>
      <c r="C100" s="314">
        <v>1</v>
      </c>
      <c r="D100" s="287" t="s">
        <v>187</v>
      </c>
      <c r="E100" s="523"/>
      <c r="F100" s="488" t="str">
        <f t="shared" si="2"/>
        <v xml:space="preserve"> </v>
      </c>
    </row>
    <row r="101" spans="1:8" s="272" customFormat="1">
      <c r="A101" s="429"/>
      <c r="B101" s="282"/>
      <c r="C101" s="314"/>
      <c r="D101" s="314"/>
      <c r="E101" s="492"/>
      <c r="F101" s="492"/>
    </row>
    <row r="102" spans="1:8" s="272" customFormat="1">
      <c r="A102" s="428"/>
      <c r="B102" s="312" t="s">
        <v>234</v>
      </c>
      <c r="C102" s="313"/>
      <c r="D102" s="342"/>
      <c r="E102" s="522"/>
      <c r="F102" s="490">
        <f>SUM(F79:F100)</f>
        <v>0</v>
      </c>
    </row>
    <row r="103" spans="1:8" s="272" customFormat="1">
      <c r="A103" s="428"/>
      <c r="B103" s="312"/>
      <c r="C103" s="313"/>
      <c r="D103" s="342"/>
      <c r="E103" s="490"/>
      <c r="F103" s="490"/>
    </row>
    <row r="104" spans="1:8" s="272" customFormat="1">
      <c r="A104" s="428"/>
      <c r="B104" s="312"/>
      <c r="C104" s="313"/>
      <c r="D104" s="342"/>
      <c r="E104" s="490"/>
      <c r="F104" s="490"/>
    </row>
    <row r="105" spans="1:8" s="326" customFormat="1">
      <c r="A105" s="434" t="s">
        <v>235</v>
      </c>
      <c r="B105" s="324" t="s">
        <v>236</v>
      </c>
      <c r="C105" s="325"/>
      <c r="D105" s="345"/>
      <c r="E105" s="492" t="str">
        <f>IF(AND(ISNUMBER(#REF!),ISNUMBER(#REF!)),ROUND((#REF!*#REF!+#REF!*#REF!*#REF!)*#REF!*#REF!,0)," ")</f>
        <v xml:space="preserve"> </v>
      </c>
      <c r="F105" s="492"/>
    </row>
    <row r="106" spans="1:8" s="326" customFormat="1">
      <c r="A106" s="434"/>
      <c r="B106" s="324"/>
      <c r="C106" s="325"/>
      <c r="D106" s="345"/>
      <c r="E106" s="492"/>
      <c r="F106" s="492"/>
    </row>
    <row r="107" spans="1:8" s="272" customFormat="1">
      <c r="A107" s="435" t="s">
        <v>146</v>
      </c>
      <c r="B107" s="321" t="s">
        <v>237</v>
      </c>
      <c r="C107" s="317">
        <v>1</v>
      </c>
      <c r="D107" s="327" t="s">
        <v>187</v>
      </c>
      <c r="E107" s="520"/>
      <c r="F107" s="488" t="str">
        <f t="shared" ref="F107:F111" si="3">IF(AND(ISNUMBER(C107),ISNUMBER(E107)),C107*E107," ")</f>
        <v xml:space="preserve"> </v>
      </c>
    </row>
    <row r="108" spans="1:8" s="272" customFormat="1">
      <c r="A108" s="435" t="s">
        <v>146</v>
      </c>
      <c r="B108" s="321" t="s">
        <v>238</v>
      </c>
      <c r="C108" s="317">
        <v>2</v>
      </c>
      <c r="D108" s="327" t="s">
        <v>187</v>
      </c>
      <c r="E108" s="520"/>
      <c r="F108" s="488" t="str">
        <f t="shared" si="3"/>
        <v xml:space="preserve"> </v>
      </c>
    </row>
    <row r="109" spans="1:8" s="318" customFormat="1">
      <c r="A109" s="436" t="s">
        <v>146</v>
      </c>
      <c r="B109" s="321" t="s">
        <v>239</v>
      </c>
      <c r="C109" s="317">
        <v>1</v>
      </c>
      <c r="D109" s="327" t="s">
        <v>187</v>
      </c>
      <c r="E109" s="520"/>
      <c r="F109" s="488" t="str">
        <f t="shared" si="3"/>
        <v xml:space="preserve"> </v>
      </c>
    </row>
    <row r="110" spans="1:8" s="318" customFormat="1">
      <c r="A110" s="436" t="s">
        <v>146</v>
      </c>
      <c r="B110" s="321" t="s">
        <v>240</v>
      </c>
      <c r="C110" s="317">
        <v>4</v>
      </c>
      <c r="D110" s="327" t="s">
        <v>187</v>
      </c>
      <c r="E110" s="520"/>
      <c r="F110" s="488" t="str">
        <f t="shared" si="3"/>
        <v xml:space="preserve"> </v>
      </c>
    </row>
    <row r="111" spans="1:8" s="318" customFormat="1">
      <c r="A111" s="436" t="s">
        <v>146</v>
      </c>
      <c r="B111" s="321" t="s">
        <v>241</v>
      </c>
      <c r="C111" s="327">
        <v>1</v>
      </c>
      <c r="D111" s="327" t="s">
        <v>187</v>
      </c>
      <c r="E111" s="520"/>
      <c r="F111" s="488" t="str">
        <f t="shared" si="3"/>
        <v xml:space="preserve"> </v>
      </c>
    </row>
    <row r="112" spans="1:8" s="272" customFormat="1">
      <c r="A112" s="436"/>
      <c r="B112" s="316"/>
      <c r="C112" s="317"/>
      <c r="D112" s="343"/>
      <c r="E112" s="492"/>
      <c r="F112" s="492"/>
    </row>
    <row r="113" spans="1:6" s="326" customFormat="1">
      <c r="A113" s="434"/>
      <c r="B113" s="328" t="s">
        <v>242</v>
      </c>
      <c r="C113" s="325"/>
      <c r="D113" s="345"/>
      <c r="E113" s="523" t="str">
        <f>IF(AND(ISNUMBER(#REF!),ISNUMBER(#REF!)),ROUND((#REF!*#REF!+#REF!*#REF!*#REF!)*#REF!*#REF!,0)," ")</f>
        <v xml:space="preserve"> </v>
      </c>
      <c r="F113" s="490">
        <f>SUM(F107:F111)</f>
        <v>0</v>
      </c>
    </row>
    <row r="114" spans="1:6" s="326" customFormat="1">
      <c r="A114" s="434"/>
      <c r="B114" s="328"/>
      <c r="C114" s="325"/>
      <c r="D114" s="345"/>
      <c r="E114" s="492"/>
      <c r="F114" s="490"/>
    </row>
    <row r="115" spans="1:6" s="330" customFormat="1">
      <c r="A115" s="427" t="s">
        <v>243</v>
      </c>
      <c r="B115" s="275" t="s">
        <v>244</v>
      </c>
      <c r="C115" s="329"/>
      <c r="D115" s="329"/>
      <c r="E115" s="493"/>
      <c r="F115" s="493"/>
    </row>
    <row r="116" spans="1:6" s="291" customFormat="1">
      <c r="A116" s="437"/>
      <c r="B116" s="290"/>
      <c r="C116" s="300"/>
      <c r="D116" s="300"/>
      <c r="E116" s="489"/>
      <c r="F116" s="489"/>
    </row>
    <row r="117" spans="1:6" s="291" customFormat="1">
      <c r="A117" s="438" t="s">
        <v>146</v>
      </c>
      <c r="B117" s="290" t="s">
        <v>245</v>
      </c>
      <c r="C117" s="300">
        <v>1</v>
      </c>
      <c r="D117" s="300" t="s">
        <v>187</v>
      </c>
      <c r="E117" s="520"/>
      <c r="F117" s="488" t="str">
        <f t="shared" ref="F117:F119" si="4">IF(AND(ISNUMBER(C117),ISNUMBER(E117)),C117*E117," ")</f>
        <v xml:space="preserve"> </v>
      </c>
    </row>
    <row r="118" spans="1:6" s="291" customFormat="1" ht="25.5">
      <c r="A118" s="438" t="s">
        <v>146</v>
      </c>
      <c r="B118" s="290" t="s">
        <v>246</v>
      </c>
      <c r="C118" s="300">
        <v>1</v>
      </c>
      <c r="D118" s="300" t="s">
        <v>187</v>
      </c>
      <c r="E118" s="520"/>
      <c r="F118" s="488" t="str">
        <f t="shared" si="4"/>
        <v xml:space="preserve"> </v>
      </c>
    </row>
    <row r="119" spans="1:6" s="290" customFormat="1" ht="25.5">
      <c r="A119" s="437" t="s">
        <v>146</v>
      </c>
      <c r="B119" s="290" t="s">
        <v>247</v>
      </c>
      <c r="C119" s="314">
        <v>2</v>
      </c>
      <c r="D119" s="287" t="s">
        <v>9</v>
      </c>
      <c r="E119" s="520"/>
      <c r="F119" s="488" t="str">
        <f t="shared" si="4"/>
        <v xml:space="preserve"> </v>
      </c>
    </row>
    <row r="120" spans="1:6" s="291" customFormat="1">
      <c r="A120" s="437"/>
      <c r="B120" s="290"/>
      <c r="C120" s="300"/>
      <c r="D120" s="300"/>
      <c r="E120" s="489"/>
      <c r="F120" s="489"/>
    </row>
    <row r="121" spans="1:6" s="330" customFormat="1">
      <c r="A121" s="427"/>
      <c r="B121" s="278" t="s">
        <v>248</v>
      </c>
      <c r="C121" s="329"/>
      <c r="D121" s="329"/>
      <c r="E121" s="524"/>
      <c r="F121" s="494">
        <f>SUM(F117:F119)</f>
        <v>0</v>
      </c>
    </row>
    <row r="122" spans="1:6" s="272" customFormat="1">
      <c r="A122" s="428"/>
      <c r="B122" s="282"/>
      <c r="C122" s="314"/>
      <c r="D122" s="314"/>
      <c r="E122" s="492"/>
      <c r="F122" s="492"/>
    </row>
    <row r="123" spans="1:6" s="272" customFormat="1">
      <c r="A123" s="428"/>
      <c r="B123" s="315" t="s">
        <v>13</v>
      </c>
      <c r="C123" s="314"/>
      <c r="D123" s="314"/>
      <c r="E123" s="492"/>
      <c r="F123" s="492"/>
    </row>
    <row r="124" spans="1:6" s="272" customFormat="1">
      <c r="A124" s="428"/>
      <c r="B124" s="282"/>
      <c r="C124" s="314"/>
      <c r="D124" s="314"/>
      <c r="E124" s="492" t="str">
        <f>IF(AND(ISNUMBER(#REF!),ISNUMBER(#REF!)),ROUND((#REF!*#REF!+#REF!*#REF!*#REF!)*(1+#REF!)*#REF!*#REF!*#REF!,2)," ")</f>
        <v xml:space="preserve"> </v>
      </c>
      <c r="F124" s="492"/>
    </row>
    <row r="125" spans="1:6" s="272" customFormat="1">
      <c r="A125" s="312" t="s">
        <v>143</v>
      </c>
      <c r="B125" s="315" t="s">
        <v>249</v>
      </c>
      <c r="C125" s="325">
        <v>1</v>
      </c>
      <c r="D125" s="346" t="s">
        <v>187</v>
      </c>
      <c r="E125" s="523"/>
      <c r="F125" s="490">
        <f>F62</f>
        <v>0</v>
      </c>
    </row>
    <row r="126" spans="1:6" s="272" customFormat="1">
      <c r="A126" s="312" t="s">
        <v>201</v>
      </c>
      <c r="B126" s="315" t="s">
        <v>202</v>
      </c>
      <c r="C126" s="325">
        <v>1</v>
      </c>
      <c r="D126" s="346" t="s">
        <v>187</v>
      </c>
      <c r="E126" s="523"/>
      <c r="F126" s="490">
        <f>F73</f>
        <v>0</v>
      </c>
    </row>
    <row r="127" spans="1:6" s="272" customFormat="1" ht="25.5">
      <c r="A127" s="312" t="s">
        <v>209</v>
      </c>
      <c r="B127" s="331" t="s">
        <v>210</v>
      </c>
      <c r="C127" s="325">
        <v>1</v>
      </c>
      <c r="D127" s="346" t="s">
        <v>187</v>
      </c>
      <c r="E127" s="523"/>
      <c r="F127" s="490">
        <f>F102</f>
        <v>0</v>
      </c>
    </row>
    <row r="128" spans="1:6" s="272" customFormat="1">
      <c r="A128" s="312" t="s">
        <v>235</v>
      </c>
      <c r="B128" s="315" t="s">
        <v>236</v>
      </c>
      <c r="C128" s="325">
        <v>1</v>
      </c>
      <c r="D128" s="346" t="s">
        <v>187</v>
      </c>
      <c r="E128" s="523"/>
      <c r="F128" s="490">
        <f>F113</f>
        <v>0</v>
      </c>
    </row>
    <row r="129" spans="1:6" s="272" customFormat="1">
      <c r="A129" s="312" t="s">
        <v>243</v>
      </c>
      <c r="B129" s="315" t="s">
        <v>244</v>
      </c>
      <c r="C129" s="325">
        <v>1</v>
      </c>
      <c r="D129" s="346" t="s">
        <v>187</v>
      </c>
      <c r="E129" s="523"/>
      <c r="F129" s="490">
        <f>F121</f>
        <v>0</v>
      </c>
    </row>
    <row r="130" spans="1:6" s="272" customFormat="1">
      <c r="A130" s="312" t="s">
        <v>250</v>
      </c>
      <c r="B130" s="332" t="s">
        <v>251</v>
      </c>
      <c r="C130" s="325">
        <v>1</v>
      </c>
      <c r="D130" s="346" t="s">
        <v>187</v>
      </c>
      <c r="E130" s="525"/>
      <c r="F130" s="488" t="str">
        <f t="shared" ref="F130:F135" si="5">IF(AND(ISNUMBER(C130),ISNUMBER(E130)),C130*E130," ")</f>
        <v xml:space="preserve"> </v>
      </c>
    </row>
    <row r="131" spans="1:6" s="272" customFormat="1">
      <c r="A131" s="312" t="s">
        <v>252</v>
      </c>
      <c r="B131" s="332" t="s">
        <v>253</v>
      </c>
      <c r="C131" s="325">
        <v>1</v>
      </c>
      <c r="D131" s="346" t="s">
        <v>187</v>
      </c>
      <c r="E131" s="525"/>
      <c r="F131" s="488" t="str">
        <f t="shared" si="5"/>
        <v xml:space="preserve"> </v>
      </c>
    </row>
    <row r="132" spans="1:6" s="272" customFormat="1" ht="38.25">
      <c r="A132" s="312" t="s">
        <v>254</v>
      </c>
      <c r="B132" s="332" t="s">
        <v>255</v>
      </c>
      <c r="C132" s="325">
        <v>1</v>
      </c>
      <c r="D132" s="346" t="s">
        <v>187</v>
      </c>
      <c r="E132" s="525"/>
      <c r="F132" s="488" t="str">
        <f t="shared" si="5"/>
        <v xml:space="preserve"> </v>
      </c>
    </row>
    <row r="133" spans="1:6" s="272" customFormat="1" ht="89.25">
      <c r="A133" s="312" t="s">
        <v>256</v>
      </c>
      <c r="B133" s="332" t="s">
        <v>257</v>
      </c>
      <c r="C133" s="325">
        <v>1</v>
      </c>
      <c r="D133" s="346" t="s">
        <v>187</v>
      </c>
      <c r="E133" s="525"/>
      <c r="F133" s="488" t="str">
        <f t="shared" si="5"/>
        <v xml:space="preserve"> </v>
      </c>
    </row>
    <row r="134" spans="1:6" s="272" customFormat="1">
      <c r="A134" s="312" t="s">
        <v>258</v>
      </c>
      <c r="B134" s="332" t="s">
        <v>259</v>
      </c>
      <c r="C134" s="325">
        <v>1</v>
      </c>
      <c r="D134" s="346" t="s">
        <v>187</v>
      </c>
      <c r="E134" s="525"/>
      <c r="F134" s="488" t="str">
        <f t="shared" si="5"/>
        <v xml:space="preserve"> </v>
      </c>
    </row>
    <row r="135" spans="1:6" s="272" customFormat="1">
      <c r="A135" s="312" t="s">
        <v>260</v>
      </c>
      <c r="B135" s="332" t="s">
        <v>261</v>
      </c>
      <c r="C135" s="325">
        <v>1</v>
      </c>
      <c r="D135" s="346" t="s">
        <v>187</v>
      </c>
      <c r="E135" s="525"/>
      <c r="F135" s="488" t="str">
        <f t="shared" si="5"/>
        <v xml:space="preserve"> </v>
      </c>
    </row>
    <row r="136" spans="1:6" s="272" customFormat="1">
      <c r="A136" s="439"/>
      <c r="B136" s="333"/>
      <c r="C136" s="334"/>
      <c r="D136" s="347"/>
      <c r="E136" s="495"/>
      <c r="F136" s="496"/>
    </row>
    <row r="137" spans="1:6" s="272" customFormat="1">
      <c r="A137" s="440"/>
      <c r="B137" s="335"/>
      <c r="C137" s="335"/>
      <c r="D137" s="348"/>
      <c r="E137" s="497" t="str">
        <f>IF(AND(ISNUMBER(#REF!),ISNUMBER(#REF!)),ROUND((#REF!*#REF!+#REF!*#REF!*#REF!)*(1+#REF!)*#REF!*#REF!*#REF!,2)," ")</f>
        <v xml:space="preserve"> </v>
      </c>
      <c r="F137" s="497"/>
    </row>
    <row r="138" spans="1:6" s="326" customFormat="1">
      <c r="A138" s="446"/>
      <c r="B138" s="416" t="s">
        <v>396</v>
      </c>
      <c r="C138" s="416"/>
      <c r="D138" s="417"/>
      <c r="E138" s="526" t="s">
        <v>262</v>
      </c>
      <c r="F138" s="498">
        <f>SUM(F125:F135)</f>
        <v>0</v>
      </c>
    </row>
    <row r="139" spans="1:6" s="272" customFormat="1">
      <c r="A139" s="425"/>
      <c r="D139" s="338"/>
      <c r="E139" s="274" t="str">
        <f>IF(AND(ISNUMBER(#REF!),ISNUMBER(#REF!)),ROUND((#REF!*#REF!+#REF!*#REF!*#REF!)*(1+#REF!)*#REF!*#REF!*#REF!,2)," ")</f>
        <v xml:space="preserve"> </v>
      </c>
      <c r="F139" s="274" t="str">
        <f t="shared" ref="F139:F140" si="6">IF(AND(ISNUMBER(C139),ISNUMBER(E139)),C139*E139," ")</f>
        <v xml:space="preserve"> </v>
      </c>
    </row>
    <row r="140" spans="1:6" s="272" customFormat="1">
      <c r="A140" s="425"/>
      <c r="D140" s="338"/>
      <c r="E140" s="274" t="str">
        <f>IF(AND(ISNUMBER(#REF!),ISNUMBER(#REF!)),ROUND((#REF!*#REF!+#REF!*#REF!*#REF!)*(1+#REF!)*#REF!*#REF!*#REF!,2)," ")</f>
        <v xml:space="preserve"> </v>
      </c>
      <c r="F140" s="274" t="str">
        <f t="shared" si="6"/>
        <v xml:space="preserve"> </v>
      </c>
    </row>
  </sheetData>
  <sheetProtection algorithmName="SHA-512" hashValue="6TtiTRQ21+tNwKCw2dVxHLhYbcOPnNkBVs7sHvEzYhGGud2u2XXcbGlhqj1hju01ab9Ky7o16NNrlzEmELemDA==" saltValue="m/mw0suV3nChRBMbSUOQRA==" spinCount="100000" sheet="1" objects="1" scenarios="1"/>
  <conditionalFormatting sqref="E136:E137 E139:E64145 E1:E5">
    <cfRule type="cellIs" dxfId="3" priority="3" stopIfTrue="1" operator="equal">
      <formula>F1</formula>
    </cfRule>
  </conditionalFormatting>
  <conditionalFormatting sqref="E8:E9">
    <cfRule type="cellIs" dxfId="2" priority="2" stopIfTrue="1" operator="equal">
      <formula>F8</formula>
    </cfRule>
  </conditionalFormatting>
  <conditionalFormatting sqref="G45">
    <cfRule type="cellIs" dxfId="1" priority="1" stopIfTrue="1" operator="equal">
      <formula>H45</formula>
    </cfRule>
  </conditionalFormatting>
  <pageMargins left="0.70866141732283472" right="0.70866141732283472" top="0.74803149606299213" bottom="0.74803149606299213" header="0.31496062992125984" footer="0.31496062992125984"/>
  <pageSetup paperSize="9" orientation="portrait" r:id="rId1"/>
  <headerFooter>
    <oddHeader>&amp;LSAVINJAPROJEKT d.o.o.&amp;RŠt. projekta: 68/2018</oddHeader>
    <oddFooter>&amp;C&amp;P</oddFooter>
  </headerFooter>
  <rowBreaks count="2" manualBreakCount="2">
    <brk id="74" max="16383" man="1"/>
    <brk id="12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11</vt:i4>
      </vt:variant>
      <vt:variant>
        <vt:lpstr>Imenovani obsegi</vt:lpstr>
      </vt:variant>
      <vt:variant>
        <vt:i4>9</vt:i4>
      </vt:variant>
    </vt:vector>
  </HeadingPairs>
  <TitlesOfParts>
    <vt:vector size="20" baseType="lpstr">
      <vt:lpstr>REKAPITULACIJA</vt:lpstr>
      <vt:lpstr>PRIPRAVLJALNA DELA</vt:lpstr>
      <vt:lpstr>ŠTORE 04-1</vt:lpstr>
      <vt:lpstr>ŠTORE 04-1.1</vt:lpstr>
      <vt:lpstr>ŠTORE 04-2</vt:lpstr>
      <vt:lpstr>ŠTORE 04-2.1</vt:lpstr>
      <vt:lpstr>ŠTORE TL.04-T1</vt:lpstr>
      <vt:lpstr>Črpališče Č4</vt:lpstr>
      <vt:lpstr>Črpališče elektro oprema Č4</vt:lpstr>
      <vt:lpstr>Črpališče-NN prikljucek Č4</vt:lpstr>
      <vt:lpstr>ZAKLJUCNA DELA</vt:lpstr>
      <vt:lpstr>REKAPITULACIJA!Področje_tiskanja</vt:lpstr>
      <vt:lpstr>'ŠTORE 04-2'!Področje_tiskanja</vt:lpstr>
      <vt:lpstr>'ŠTORE TL.04-T1'!Področje_tiskanja</vt:lpstr>
      <vt:lpstr>'Črpališče Č4'!Tiskanje_naslovov</vt:lpstr>
      <vt:lpstr>'ŠTORE 04-1'!Tiskanje_naslovov</vt:lpstr>
      <vt:lpstr>'ŠTORE 04-1.1'!Tiskanje_naslovov</vt:lpstr>
      <vt:lpstr>'ŠTORE 04-2'!Tiskanje_naslovov</vt:lpstr>
      <vt:lpstr>'ŠTORE 04-2.1'!Tiskanje_naslovov</vt:lpstr>
      <vt:lpstr>'ŠTORE TL.04-T1'!Tiskanje_naslovov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Primož Kroflič</cp:lastModifiedBy>
  <cp:lastPrinted>2020-03-02T13:54:47Z</cp:lastPrinted>
  <dcterms:created xsi:type="dcterms:W3CDTF">1997-01-31T12:20:41Z</dcterms:created>
  <dcterms:modified xsi:type="dcterms:W3CDTF">2020-09-14T11:14:42Z</dcterms:modified>
</cp:coreProperties>
</file>